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3.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xl/webextensions/webextension2.xml" ContentType="application/vnd.ms-office.webextension+xml"/>
  <Override PartName="/xl/webextensions/webextension3.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codeName="DieseArbeitsmappe"/>
  <mc:AlternateContent xmlns:mc="http://schemas.openxmlformats.org/markup-compatibility/2006">
    <mc:Choice Requires="x15">
      <x15ac:absPath xmlns:x15ac="http://schemas.microsoft.com/office/spreadsheetml/2010/11/ac" url="https://anbaulindau.sharepoint.com/sites/AnBauAgenturfrnachhaltigesB/Freigegebene Dokumente/General/4. Projekte/9990. LNB GmbH/03. LNB Weiterentwicklung/LNB/2026/LNB 2026/Final/LNB Excel/"/>
    </mc:Choice>
  </mc:AlternateContent>
  <xr:revisionPtr revIDLastSave="4347" documentId="14_{24E74B5B-1D0D-4E60-AB3F-ADD116950B0A}" xr6:coauthVersionLast="47" xr6:coauthVersionMax="47" xr10:uidLastSave="{06D6F4EB-8A03-4610-9ABA-8E8B5D388DDE}"/>
  <bookViews>
    <workbookView xWindow="-28920" yWindow="-120" windowWidth="29040" windowHeight="15720" tabRatio="695" firstSheet="4" activeTab="21" xr2:uid="{C6B10047-72F1-499E-8F2E-F602884A5FD1}"/>
  </bookViews>
  <sheets>
    <sheet name="Deckblatt LNB_QNG" sheetId="33" state="hidden" r:id="rId1"/>
    <sheet name="Deckblatt LNB" sheetId="1" state="hidden" r:id="rId2"/>
    <sheet name="Punktevergabe LNB" sheetId="2" r:id="rId3"/>
    <sheet name="A 3." sheetId="47" r:id="rId4"/>
    <sheet name="A 4." sheetId="48" r:id="rId5"/>
    <sheet name="A 5." sheetId="6" r:id="rId6"/>
    <sheet name="Objekttabelle" sheetId="7" state="hidden" r:id="rId7"/>
    <sheet name="A 6." sheetId="22" r:id="rId8"/>
    <sheet name="A 7." sheetId="49" r:id="rId9"/>
    <sheet name="A 8." sheetId="31" r:id="rId10"/>
    <sheet name="B 1. " sheetId="50" r:id="rId11"/>
    <sheet name="B 2. B 3. " sheetId="27" r:id="rId12"/>
    <sheet name="B1 Graphik" sheetId="29" state="hidden" r:id="rId13"/>
    <sheet name="B2 Graphik" sheetId="12" state="hidden" r:id="rId14"/>
    <sheet name="B 4." sheetId="40" r:id="rId15"/>
    <sheet name="B 5." sheetId="46" r:id="rId16"/>
    <sheet name="C 1." sheetId="14" r:id="rId17"/>
    <sheet name="C 2." sheetId="16" r:id="rId18"/>
    <sheet name="D " sheetId="18" r:id="rId19"/>
    <sheet name="Punktevergabe LNB_QNG" sheetId="37" r:id="rId20"/>
    <sheet name="Nebenrechnungen" sheetId="45" r:id="rId21"/>
    <sheet name="Änderungen zur Vorversion" sheetId="51" r:id="rId22"/>
    <sheet name="Kriterieneinteilung LNB_QNG" sheetId="35" state="hidden" r:id="rId23"/>
    <sheet name="Tabelle1" sheetId="38" state="hidden" r:id="rId24"/>
  </sheets>
  <definedNames>
    <definedName name="_Toc218697284" localSheetId="21">'Änderungen zur Vorversion'!$A$1</definedName>
    <definedName name="a">#REF!</definedName>
    <definedName name="_xlnm.Print_Area" localSheetId="14">'B 4.'!$A$1:$G$38,'B 4.'!#REF!,'B 4.'!#REF!</definedName>
    <definedName name="_xlnm.Print_Area" localSheetId="2">'Punktevergabe LNB'!$A:$K</definedName>
    <definedName name="Gebaeude">#REF!</definedName>
    <definedName name="Gebaeudetyp" localSheetId="6">#REF!</definedName>
    <definedName name="Gebaeudetyp">#REF!</definedName>
    <definedName name="Gebäudetyp">#REF!</definedName>
    <definedName name="Gemeinde">#REF!</definedName>
    <definedName name="Heizgradtage" localSheetId="6">#REF!</definedName>
    <definedName name="Heizgradtage">#REF!</definedName>
    <definedName name="HGT" localSheetId="6">#REF!</definedName>
    <definedName name="HGT">#REF!</definedName>
    <definedName name="Kommunen" localSheetId="6">#REF!</definedName>
    <definedName name="Kommunen">#REF!</definedName>
    <definedName name="Max" localSheetId="6">#REF!</definedName>
    <definedName name="Max">#REF!</definedName>
    <definedName name="Min" localSheetId="6">#REF!</definedName>
    <definedName name="Min">#REF!</definedName>
    <definedName name="Objekttyp">#REF!</definedName>
    <definedName name="Orte">#REF!</definedName>
    <definedName name="Planstand" localSheetId="6">#REF!</definedName>
    <definedName name="Planstand">#REF!</definedName>
    <definedName name="Punkte">'A 8.'!$C$5</definedName>
    <definedName name="Punktemax" localSheetId="6">#REF!</definedName>
    <definedName name="Punktemax">#REF!</definedName>
    <definedName name="Punktemin" localSheetId="6">#REF!</definedName>
    <definedName name="Punktemin">#REF!</definedName>
    <definedName name="sfdgs">#REF!</definedName>
    <definedName name="Z_900BB99C_5F12_4578_9AB6_A71D1D7EE1B7_.wvu.PrintArea" localSheetId="2" hidden="1">'Punktevergabe LNB'!$B$1:$G$47</definedName>
    <definedName name="Z_900BB99C_5F12_4578_9AB6_A71D1D7EE1B7_.wvu.PrintTitles" localSheetId="2" hidden="1">'Punktevergabe LNB'!$1:$10</definedName>
    <definedName name="Z_900BB99C_5F12_4578_9AB6_A71D1D7EE1B7_.wvu.Rows" localSheetId="2" hidden="1">'Punktevergabe LNB'!$8:$8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5" i="31" l="1"/>
  <c r="B13" i="6" l="1"/>
  <c r="G8" i="27" l="1"/>
  <c r="L8" i="27"/>
  <c r="C4" i="37" l="1"/>
  <c r="L10" i="50" l="1"/>
  <c r="G10" i="50"/>
  <c r="L9" i="50"/>
  <c r="G9" i="50"/>
  <c r="L8" i="50"/>
  <c r="G8" i="50"/>
  <c r="L7" i="50"/>
  <c r="G7" i="50"/>
  <c r="L6" i="50"/>
  <c r="L17" i="50" s="1"/>
  <c r="G6" i="50"/>
  <c r="G17" i="50" s="1"/>
  <c r="B17" i="50" s="1"/>
  <c r="G24" i="2" s="1"/>
  <c r="L5" i="50"/>
  <c r="L16" i="50" s="1"/>
  <c r="G5" i="50"/>
  <c r="G16" i="50" s="1"/>
  <c r="B16" i="50" s="1"/>
  <c r="G23" i="2" s="1"/>
  <c r="L4" i="50"/>
  <c r="G4" i="50"/>
  <c r="A3" i="50"/>
  <c r="G14" i="50" l="1"/>
  <c r="G18" i="50" s="1"/>
  <c r="B18" i="50" s="1"/>
  <c r="G25" i="2" s="1"/>
  <c r="L14" i="50"/>
  <c r="L18" i="50" s="1"/>
  <c r="G15" i="50"/>
  <c r="B15" i="50" s="1"/>
  <c r="L15" i="50"/>
  <c r="L19" i="50" s="1"/>
  <c r="D11" i="49"/>
  <c r="G18" i="2" s="1"/>
  <c r="D122" i="45"/>
  <c r="D125" i="45" s="1"/>
  <c r="D123" i="45"/>
  <c r="B14" i="50" l="1"/>
  <c r="G19" i="50"/>
  <c r="B19" i="50" s="1"/>
  <c r="G26" i="2" s="1"/>
  <c r="C12" i="14"/>
  <c r="B19" i="6" l="1"/>
  <c r="B18" i="6" l="1"/>
  <c r="E25" i="6"/>
  <c r="F44" i="47"/>
  <c r="D9" i="22" l="1"/>
  <c r="C18" i="16"/>
  <c r="C8" i="45" l="1"/>
  <c r="D124" i="45" l="1"/>
  <c r="B6" i="18"/>
  <c r="D6" i="46"/>
  <c r="G38" i="2" s="1"/>
  <c r="F13" i="47"/>
  <c r="F52" i="47"/>
  <c r="C9" i="45"/>
  <c r="K13" i="37" s="1"/>
  <c r="C133" i="45"/>
  <c r="C10" i="45"/>
  <c r="C134" i="45"/>
  <c r="D126" i="45" l="1"/>
  <c r="E22" i="48" s="1"/>
  <c r="F53" i="47"/>
  <c r="G14" i="2" s="1"/>
  <c r="F63" i="37"/>
  <c r="E63" i="37"/>
  <c r="D63" i="37"/>
  <c r="F40" i="37" l="1"/>
  <c r="E40" i="37"/>
  <c r="F52" i="37"/>
  <c r="E52" i="37"/>
  <c r="F36" i="16"/>
  <c r="F18" i="16"/>
  <c r="F19" i="16"/>
  <c r="F20" i="16"/>
  <c r="F21" i="16"/>
  <c r="D18" i="16"/>
  <c r="D19" i="16"/>
  <c r="D20" i="16"/>
  <c r="E18" i="16"/>
  <c r="E33" i="16" s="1"/>
  <c r="F50" i="16"/>
  <c r="F49" i="16"/>
  <c r="F48" i="16"/>
  <c r="F47" i="16"/>
  <c r="F46" i="16"/>
  <c r="F45" i="16"/>
  <c r="F44" i="16"/>
  <c r="F43" i="16"/>
  <c r="F42" i="16"/>
  <c r="F41" i="16"/>
  <c r="F40" i="16"/>
  <c r="F39" i="16"/>
  <c r="F38" i="16"/>
  <c r="F37" i="16"/>
  <c r="F35" i="16"/>
  <c r="F34" i="16"/>
  <c r="F33" i="16"/>
  <c r="F32" i="16"/>
  <c r="D32" i="16"/>
  <c r="C32" i="16"/>
  <c r="F31" i="16"/>
  <c r="D31" i="16"/>
  <c r="C31" i="16"/>
  <c r="F30" i="16"/>
  <c r="D30" i="16"/>
  <c r="C30" i="16"/>
  <c r="F29" i="16"/>
  <c r="D29" i="16"/>
  <c r="C29" i="16"/>
  <c r="F28" i="16"/>
  <c r="D28" i="16"/>
  <c r="C28" i="16"/>
  <c r="F27" i="16"/>
  <c r="D27" i="16"/>
  <c r="C27" i="16"/>
  <c r="F26" i="16"/>
  <c r="D26" i="16"/>
  <c r="C26" i="16"/>
  <c r="F25" i="16"/>
  <c r="D25" i="16"/>
  <c r="C25" i="16"/>
  <c r="F24" i="16"/>
  <c r="D24" i="16"/>
  <c r="C24" i="16"/>
  <c r="F23" i="16"/>
  <c r="D23" i="16"/>
  <c r="C23" i="16"/>
  <c r="F22" i="16"/>
  <c r="D22" i="16"/>
  <c r="C22" i="16"/>
  <c r="D21" i="16"/>
  <c r="C21" i="16"/>
  <c r="C20" i="16"/>
  <c r="C19" i="16"/>
  <c r="K36" i="37"/>
  <c r="C38" i="45"/>
  <c r="C39" i="45"/>
  <c r="G43" i="45"/>
  <c r="J43" i="45" s="1"/>
  <c r="H43" i="45"/>
  <c r="H18" i="16" s="1"/>
  <c r="G44" i="45"/>
  <c r="G19" i="16" s="1"/>
  <c r="H44" i="45"/>
  <c r="H19" i="16" s="1"/>
  <c r="G45" i="45"/>
  <c r="I45" i="45" s="1"/>
  <c r="H45" i="45"/>
  <c r="H20" i="16" s="1"/>
  <c r="G46" i="45"/>
  <c r="K46" i="45" s="1"/>
  <c r="H46" i="45"/>
  <c r="H21" i="16" s="1"/>
  <c r="G47" i="45"/>
  <c r="I47" i="45" s="1"/>
  <c r="H47" i="45"/>
  <c r="H22" i="16" s="1"/>
  <c r="G48" i="45"/>
  <c r="I48" i="45" s="1"/>
  <c r="H48" i="45"/>
  <c r="H23" i="16" s="1"/>
  <c r="G49" i="45"/>
  <c r="I49" i="45" s="1"/>
  <c r="H49" i="45"/>
  <c r="H24" i="16" s="1"/>
  <c r="G50" i="45"/>
  <c r="I50" i="45" s="1"/>
  <c r="H50" i="45"/>
  <c r="H25" i="16" s="1"/>
  <c r="G51" i="45"/>
  <c r="I51" i="45" s="1"/>
  <c r="H51" i="45"/>
  <c r="H26" i="16" s="1"/>
  <c r="G52" i="45"/>
  <c r="J52" i="45" s="1"/>
  <c r="H52" i="45"/>
  <c r="H27" i="16" s="1"/>
  <c r="G53" i="45"/>
  <c r="J53" i="45" s="1"/>
  <c r="H53" i="45"/>
  <c r="H28" i="16" s="1"/>
  <c r="G54" i="45"/>
  <c r="K54" i="45" s="1"/>
  <c r="H54" i="45"/>
  <c r="H29" i="16" s="1"/>
  <c r="G55" i="45"/>
  <c r="I55" i="45" s="1"/>
  <c r="H55" i="45"/>
  <c r="H30" i="16" s="1"/>
  <c r="G56" i="45"/>
  <c r="I56" i="45" s="1"/>
  <c r="H56" i="45"/>
  <c r="H31" i="16" s="1"/>
  <c r="G57" i="45"/>
  <c r="I57" i="45" s="1"/>
  <c r="H57" i="45"/>
  <c r="H32" i="16" s="1"/>
  <c r="E58" i="45"/>
  <c r="D61" i="45"/>
  <c r="C36" i="16" s="1"/>
  <c r="E61" i="45"/>
  <c r="H61" i="45" s="1"/>
  <c r="H36" i="16" s="1"/>
  <c r="G61" i="45"/>
  <c r="J61" i="45" s="1"/>
  <c r="D62" i="45"/>
  <c r="C37" i="16" s="1"/>
  <c r="E62" i="45"/>
  <c r="D37" i="16" s="1"/>
  <c r="G62" i="45"/>
  <c r="I62" i="45" s="1"/>
  <c r="D63" i="45"/>
  <c r="C38" i="16" s="1"/>
  <c r="E63" i="45"/>
  <c r="H63" i="45" s="1"/>
  <c r="H38" i="16" s="1"/>
  <c r="G63" i="45"/>
  <c r="G38" i="16" s="1"/>
  <c r="D64" i="45"/>
  <c r="C39" i="16" s="1"/>
  <c r="E64" i="45"/>
  <c r="H64" i="45" s="1"/>
  <c r="H39" i="16" s="1"/>
  <c r="G64" i="45"/>
  <c r="K64" i="45" s="1"/>
  <c r="D65" i="45"/>
  <c r="C40" i="16" s="1"/>
  <c r="E65" i="45"/>
  <c r="D40" i="16" s="1"/>
  <c r="G65" i="45"/>
  <c r="I65" i="45" s="1"/>
  <c r="D66" i="45"/>
  <c r="C41" i="16" s="1"/>
  <c r="E66" i="45"/>
  <c r="H66" i="45" s="1"/>
  <c r="H41" i="16" s="1"/>
  <c r="G66" i="45"/>
  <c r="J66" i="45" s="1"/>
  <c r="D67" i="45"/>
  <c r="C42" i="16" s="1"/>
  <c r="E67" i="45"/>
  <c r="H67" i="45" s="1"/>
  <c r="H42" i="16" s="1"/>
  <c r="G67" i="45"/>
  <c r="I67" i="45" s="1"/>
  <c r="D68" i="45"/>
  <c r="C43" i="16" s="1"/>
  <c r="E68" i="45"/>
  <c r="D43" i="16" s="1"/>
  <c r="G68" i="45"/>
  <c r="I68" i="45" s="1"/>
  <c r="D69" i="45"/>
  <c r="C44" i="16" s="1"/>
  <c r="E69" i="45"/>
  <c r="H69" i="45" s="1"/>
  <c r="H44" i="16" s="1"/>
  <c r="G69" i="45"/>
  <c r="J69" i="45" s="1"/>
  <c r="D70" i="45"/>
  <c r="C45" i="16" s="1"/>
  <c r="E70" i="45"/>
  <c r="D45" i="16" s="1"/>
  <c r="G70" i="45"/>
  <c r="I70" i="45" s="1"/>
  <c r="D71" i="45"/>
  <c r="C46" i="16" s="1"/>
  <c r="E71" i="45"/>
  <c r="H71" i="45" s="1"/>
  <c r="H46" i="16" s="1"/>
  <c r="G71" i="45"/>
  <c r="I71" i="45" s="1"/>
  <c r="D72" i="45"/>
  <c r="C47" i="16" s="1"/>
  <c r="E72" i="45"/>
  <c r="H72" i="45" s="1"/>
  <c r="H47" i="16" s="1"/>
  <c r="G72" i="45"/>
  <c r="K72" i="45" s="1"/>
  <c r="D73" i="45"/>
  <c r="C48" i="16" s="1"/>
  <c r="E73" i="45"/>
  <c r="D48" i="16" s="1"/>
  <c r="G73" i="45"/>
  <c r="I73" i="45" s="1"/>
  <c r="D74" i="45"/>
  <c r="C49" i="16" s="1"/>
  <c r="E74" i="45"/>
  <c r="H74" i="45" s="1"/>
  <c r="H49" i="16" s="1"/>
  <c r="G74" i="45"/>
  <c r="J74" i="45" s="1"/>
  <c r="D75" i="45"/>
  <c r="C50" i="16" s="1"/>
  <c r="E75" i="45"/>
  <c r="H75" i="45" s="1"/>
  <c r="H50" i="16" s="1"/>
  <c r="G75" i="45"/>
  <c r="J75" i="45" s="1"/>
  <c r="C19" i="45"/>
  <c r="H106" i="45" s="1"/>
  <c r="C24" i="45"/>
  <c r="C26" i="45"/>
  <c r="C28" i="45"/>
  <c r="F18" i="37" s="1"/>
  <c r="E18" i="37" l="1"/>
  <c r="D18" i="37" s="1"/>
  <c r="K19" i="37" s="1"/>
  <c r="E29" i="48"/>
  <c r="G15" i="2" s="1"/>
  <c r="J71" i="45"/>
  <c r="I53" i="45"/>
  <c r="K73" i="45"/>
  <c r="D38" i="16"/>
  <c r="J67" i="45"/>
  <c r="K65" i="45"/>
  <c r="I74" i="45"/>
  <c r="J68" i="45"/>
  <c r="K66" i="45"/>
  <c r="H68" i="45"/>
  <c r="H43" i="16" s="1"/>
  <c r="H70" i="45"/>
  <c r="H45" i="16" s="1"/>
  <c r="K44" i="45"/>
  <c r="I44" i="45"/>
  <c r="K71" i="45"/>
  <c r="K63" i="45"/>
  <c r="G28" i="16"/>
  <c r="G41" i="16"/>
  <c r="G48" i="16"/>
  <c r="G26" i="16"/>
  <c r="H65" i="45"/>
  <c r="H40" i="16" s="1"/>
  <c r="J63" i="45"/>
  <c r="J56" i="45"/>
  <c r="J70" i="45"/>
  <c r="K68" i="45"/>
  <c r="I63" i="45"/>
  <c r="J50" i="45"/>
  <c r="J47" i="45"/>
  <c r="J44" i="45"/>
  <c r="G22" i="16"/>
  <c r="D42" i="16"/>
  <c r="G45" i="16"/>
  <c r="G21" i="16"/>
  <c r="G39" i="16"/>
  <c r="D50" i="16"/>
  <c r="G20" i="16"/>
  <c r="K51" i="45"/>
  <c r="K49" i="45"/>
  <c r="G46" i="16"/>
  <c r="K53" i="37"/>
  <c r="H62" i="45"/>
  <c r="H37" i="16" s="1"/>
  <c r="K57" i="45"/>
  <c r="J51" i="45"/>
  <c r="G43" i="16"/>
  <c r="H73" i="45"/>
  <c r="H48" i="16" s="1"/>
  <c r="G29" i="16"/>
  <c r="D44" i="16"/>
  <c r="G44" i="16"/>
  <c r="K74" i="45"/>
  <c r="I69" i="45"/>
  <c r="I52" i="45"/>
  <c r="K50" i="45"/>
  <c r="G31" i="16"/>
  <c r="G23" i="16"/>
  <c r="G47" i="16"/>
  <c r="G49" i="16"/>
  <c r="G30" i="16"/>
  <c r="D46" i="16"/>
  <c r="G27" i="16"/>
  <c r="G40" i="16"/>
  <c r="G42" i="16"/>
  <c r="G50" i="16"/>
  <c r="D36" i="16"/>
  <c r="G25" i="16"/>
  <c r="I66" i="45"/>
  <c r="J55" i="45"/>
  <c r="K52" i="45"/>
  <c r="J48" i="45"/>
  <c r="D39" i="16"/>
  <c r="D41" i="16"/>
  <c r="D47" i="16"/>
  <c r="D49" i="16"/>
  <c r="G32" i="16"/>
  <c r="G24" i="16"/>
  <c r="I61" i="45"/>
  <c r="G37" i="16"/>
  <c r="J62" i="45"/>
  <c r="G36" i="16"/>
  <c r="C40" i="45"/>
  <c r="G9" i="16" s="1"/>
  <c r="I43" i="45"/>
  <c r="H58" i="45"/>
  <c r="C36" i="45" s="1"/>
  <c r="K43" i="45"/>
  <c r="G18" i="16"/>
  <c r="J72" i="45"/>
  <c r="J64" i="45"/>
  <c r="J54" i="45"/>
  <c r="J46" i="45"/>
  <c r="E76" i="45"/>
  <c r="J73" i="45"/>
  <c r="I72" i="45"/>
  <c r="J65" i="45"/>
  <c r="I64" i="45"/>
  <c r="J57" i="45"/>
  <c r="I54" i="45"/>
  <c r="J49" i="45"/>
  <c r="I46" i="45"/>
  <c r="K75" i="45"/>
  <c r="K67" i="45"/>
  <c r="K55" i="45"/>
  <c r="K47" i="45"/>
  <c r="I75" i="45"/>
  <c r="K69" i="45"/>
  <c r="K61" i="45"/>
  <c r="K53" i="45"/>
  <c r="K45" i="45"/>
  <c r="K70" i="45"/>
  <c r="K62" i="45"/>
  <c r="K56" i="45"/>
  <c r="K48" i="45"/>
  <c r="J45" i="45"/>
  <c r="H76" i="45" l="1"/>
  <c r="C37" i="45" s="1"/>
  <c r="G7" i="16" s="1"/>
  <c r="D10" i="16" s="1"/>
  <c r="J18" i="37"/>
  <c r="F12" i="37"/>
  <c r="I76" i="45"/>
  <c r="J76" i="45"/>
  <c r="K58" i="45"/>
  <c r="J58" i="45"/>
  <c r="I58" i="45"/>
  <c r="G5" i="16"/>
  <c r="D4" i="16" s="1"/>
  <c r="K76" i="45"/>
  <c r="E12" i="37" l="1"/>
  <c r="D12" i="37"/>
  <c r="J39" i="45"/>
  <c r="F37" i="45" s="1"/>
  <c r="K39" i="45"/>
  <c r="G37" i="45" s="1"/>
  <c r="I39" i="45"/>
  <c r="E37" i="45" s="1"/>
  <c r="K62" i="37" l="1"/>
  <c r="D61" i="37" s="1"/>
  <c r="C38" i="40" l="1"/>
  <c r="F37" i="40"/>
  <c r="F36" i="40"/>
  <c r="F34" i="40"/>
  <c r="F33" i="40"/>
  <c r="F32" i="40"/>
  <c r="F31" i="40"/>
  <c r="F30" i="40"/>
  <c r="F29" i="40"/>
  <c r="F28" i="40"/>
  <c r="F27" i="40"/>
  <c r="F26" i="40"/>
  <c r="F25" i="40"/>
  <c r="F24" i="40"/>
  <c r="F23" i="40"/>
  <c r="F22" i="40"/>
  <c r="F21" i="40"/>
  <c r="F20" i="40"/>
  <c r="F19" i="40"/>
  <c r="F18" i="40"/>
  <c r="F17" i="40"/>
  <c r="F15" i="40"/>
  <c r="F14" i="40"/>
  <c r="F13" i="40"/>
  <c r="F12" i="40"/>
  <c r="F11" i="40"/>
  <c r="F9" i="40"/>
  <c r="F8" i="40"/>
  <c r="F7" i="40"/>
  <c r="F6" i="40"/>
  <c r="F38" i="40" l="1"/>
  <c r="B38" i="2"/>
  <c r="E14" i="37"/>
  <c r="F14" i="37"/>
  <c r="G36" i="2" l="1"/>
  <c r="G37" i="2"/>
  <c r="G38" i="40"/>
  <c r="B70" i="37"/>
  <c r="B36" i="37"/>
  <c r="B77" i="37"/>
  <c r="B34" i="37"/>
  <c r="B68" i="37"/>
  <c r="K49" i="37"/>
  <c r="F49" i="37"/>
  <c r="B4" i="6"/>
  <c r="C26" i="6"/>
  <c r="F20" i="37"/>
  <c r="K28" i="37"/>
  <c r="F28" i="37"/>
  <c r="F23" i="37"/>
  <c r="E49" i="37"/>
  <c r="F36" i="37"/>
  <c r="E36" i="37"/>
  <c r="E28" i="37"/>
  <c r="E23" i="37"/>
  <c r="D49" i="37"/>
  <c r="F59" i="37"/>
  <c r="I59" i="37" s="1"/>
  <c r="E59" i="37"/>
  <c r="B60" i="37"/>
  <c r="B45" i="37"/>
  <c r="K23" i="37"/>
  <c r="I40" i="37"/>
  <c r="L7" i="27"/>
  <c r="G17" i="2"/>
  <c r="B13" i="18"/>
  <c r="G46" i="2" s="1"/>
  <c r="I43" i="16"/>
  <c r="I50" i="16"/>
  <c r="I23" i="16"/>
  <c r="I29" i="16"/>
  <c r="I31" i="16"/>
  <c r="C7" i="37"/>
  <c r="K43" i="16"/>
  <c r="K44" i="16"/>
  <c r="K50" i="16"/>
  <c r="J43" i="16"/>
  <c r="J50" i="16"/>
  <c r="K31" i="16"/>
  <c r="J31" i="16"/>
  <c r="D51" i="16"/>
  <c r="D33" i="16"/>
  <c r="I36" i="16"/>
  <c r="I37" i="16"/>
  <c r="I38" i="16"/>
  <c r="I39" i="16"/>
  <c r="I40" i="16"/>
  <c r="K41" i="16"/>
  <c r="I44" i="16"/>
  <c r="K45" i="16"/>
  <c r="K46" i="16"/>
  <c r="K47" i="16"/>
  <c r="K48" i="16"/>
  <c r="K49" i="16"/>
  <c r="H33" i="16"/>
  <c r="I19" i="16"/>
  <c r="J20" i="16"/>
  <c r="I22" i="16"/>
  <c r="K24" i="16"/>
  <c r="K26" i="16"/>
  <c r="K27" i="16"/>
  <c r="K28" i="16"/>
  <c r="K29" i="16"/>
  <c r="K30" i="16"/>
  <c r="I32" i="16"/>
  <c r="J18" i="16"/>
  <c r="I25" i="16"/>
  <c r="K25" i="16"/>
  <c r="J25" i="16"/>
  <c r="I42" i="16"/>
  <c r="K42" i="16"/>
  <c r="J42" i="16"/>
  <c r="K40" i="16"/>
  <c r="J40" i="16"/>
  <c r="I21" i="16"/>
  <c r="K21" i="16"/>
  <c r="J21" i="16"/>
  <c r="I18" i="16"/>
  <c r="K18" i="16"/>
  <c r="K36" i="16"/>
  <c r="J36" i="16"/>
  <c r="J37" i="16"/>
  <c r="K37" i="16"/>
  <c r="J38" i="16"/>
  <c r="K38" i="16"/>
  <c r="K39" i="16"/>
  <c r="J39" i="16"/>
  <c r="J19" i="16"/>
  <c r="BD5" i="35"/>
  <c r="BD6" i="35"/>
  <c r="BD8" i="35"/>
  <c r="BD7" i="35"/>
  <c r="F76" i="37"/>
  <c r="E76" i="37"/>
  <c r="F74" i="37"/>
  <c r="E74" i="37"/>
  <c r="D74" i="37"/>
  <c r="F69" i="37"/>
  <c r="H69" i="37" s="1"/>
  <c r="F67" i="37"/>
  <c r="E67" i="37"/>
  <c r="F65" i="37"/>
  <c r="E65" i="37"/>
  <c r="F57" i="37"/>
  <c r="I57" i="37" s="1"/>
  <c r="E57" i="37"/>
  <c r="F46" i="37"/>
  <c r="E46" i="37"/>
  <c r="D46" i="37"/>
  <c r="F44" i="37"/>
  <c r="E44" i="37"/>
  <c r="D44" i="37"/>
  <c r="F33" i="37"/>
  <c r="E33" i="37"/>
  <c r="D20" i="37"/>
  <c r="I14" i="37"/>
  <c r="X26" i="35"/>
  <c r="V26" i="35"/>
  <c r="T26" i="35"/>
  <c r="R26" i="35"/>
  <c r="W25" i="35"/>
  <c r="U25" i="35"/>
  <c r="W24" i="35"/>
  <c r="U24" i="35"/>
  <c r="W23" i="35"/>
  <c r="S23" i="35"/>
  <c r="W22" i="35"/>
  <c r="S22" i="35"/>
  <c r="W20" i="35"/>
  <c r="U20" i="35"/>
  <c r="S20" i="35"/>
  <c r="Q20" i="35"/>
  <c r="W19" i="35"/>
  <c r="U19" i="35"/>
  <c r="S19" i="35"/>
  <c r="Q19" i="35"/>
  <c r="W18" i="35"/>
  <c r="U18" i="35"/>
  <c r="S18" i="35"/>
  <c r="Q18" i="35"/>
  <c r="S17" i="35"/>
  <c r="Q17" i="35"/>
  <c r="W16" i="35"/>
  <c r="U16" i="35"/>
  <c r="S16" i="35"/>
  <c r="Q16" i="35"/>
  <c r="W15" i="35"/>
  <c r="U15" i="35"/>
  <c r="S15" i="35"/>
  <c r="Q15" i="35"/>
  <c r="W14" i="35"/>
  <c r="U14" i="35"/>
  <c r="S14" i="35"/>
  <c r="Q14" i="35"/>
  <c r="W13" i="35"/>
  <c r="U13" i="35"/>
  <c r="S13" i="35"/>
  <c r="Q13" i="35"/>
  <c r="W12" i="35"/>
  <c r="U12" i="35"/>
  <c r="S12" i="35"/>
  <c r="Q12" i="35"/>
  <c r="W11" i="35"/>
  <c r="U11" i="35"/>
  <c r="S11" i="35"/>
  <c r="Q11" i="35"/>
  <c r="W10" i="35"/>
  <c r="U10" i="35"/>
  <c r="S10" i="35"/>
  <c r="Q10" i="35"/>
  <c r="W9" i="35"/>
  <c r="U9" i="35"/>
  <c r="S9" i="35"/>
  <c r="Q9" i="35"/>
  <c r="W8" i="35"/>
  <c r="U8" i="35"/>
  <c r="S8" i="35"/>
  <c r="Q8" i="35"/>
  <c r="AE7" i="35"/>
  <c r="AD7" i="35"/>
  <c r="AC7" i="35"/>
  <c r="AB7" i="35"/>
  <c r="W7" i="35"/>
  <c r="U7" i="35"/>
  <c r="S7" i="35"/>
  <c r="Q7" i="35"/>
  <c r="AE6" i="35"/>
  <c r="AD6" i="35"/>
  <c r="AC6" i="35"/>
  <c r="AB6" i="35"/>
  <c r="W6" i="35"/>
  <c r="U6" i="35"/>
  <c r="S6" i="35"/>
  <c r="Q6" i="35"/>
  <c r="AE5" i="35"/>
  <c r="AD5" i="35"/>
  <c r="AC5" i="35"/>
  <c r="AB5" i="35"/>
  <c r="W5" i="35"/>
  <c r="U5" i="35"/>
  <c r="S5" i="35"/>
  <c r="Q5" i="35"/>
  <c r="AE4" i="35"/>
  <c r="AD4" i="35"/>
  <c r="AD8" i="35"/>
  <c r="AC4" i="35"/>
  <c r="AC8" i="35"/>
  <c r="AB4" i="35"/>
  <c r="AB8" i="35"/>
  <c r="W4" i="35"/>
  <c r="U4" i="35"/>
  <c r="S4" i="35"/>
  <c r="Q4" i="35"/>
  <c r="U26" i="35"/>
  <c r="Q26" i="35"/>
  <c r="AE8" i="35"/>
  <c r="S26" i="35"/>
  <c r="W26" i="35"/>
  <c r="E20" i="37"/>
  <c r="B7" i="18"/>
  <c r="O1" i="2"/>
  <c r="B20" i="6"/>
  <c r="B21" i="6"/>
  <c r="A3" i="27"/>
  <c r="G5" i="27"/>
  <c r="G16" i="27" s="1"/>
  <c r="E24" i="6"/>
  <c r="F24" i="6" s="1"/>
  <c r="L5" i="14"/>
  <c r="L6" i="14" s="1"/>
  <c r="G41" i="2"/>
  <c r="D8" i="14"/>
  <c r="D7" i="14"/>
  <c r="D6" i="14"/>
  <c r="D5" i="14"/>
  <c r="C6" i="31"/>
  <c r="G19" i="2" s="1"/>
  <c r="F25" i="6"/>
  <c r="L78" i="12"/>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77" i="12"/>
  <c r="I106" i="12"/>
  <c r="I10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77" i="12"/>
  <c r="L31" i="27"/>
  <c r="Y78" i="12" s="1"/>
  <c r="L30" i="27"/>
  <c r="L29" i="27"/>
  <c r="L28" i="27"/>
  <c r="V105" i="12" s="1"/>
  <c r="L27" i="27"/>
  <c r="S79" i="12" s="1"/>
  <c r="L26" i="27"/>
  <c r="S93" i="12" s="1"/>
  <c r="L25" i="27"/>
  <c r="P94" i="12" s="1"/>
  <c r="L24" i="27"/>
  <c r="L9" i="27"/>
  <c r="L15" i="27" s="1"/>
  <c r="G9" i="27"/>
  <c r="G15" i="27" s="1"/>
  <c r="G19" i="27" s="1"/>
  <c r="G7" i="27"/>
  <c r="L6" i="27"/>
  <c r="G6" i="27"/>
  <c r="G17" i="27" s="1"/>
  <c r="L5" i="27"/>
  <c r="L4" i="27"/>
  <c r="G4" i="27"/>
  <c r="P127" i="12"/>
  <c r="P116" i="12"/>
  <c r="P140" i="12"/>
  <c r="P81" i="12"/>
  <c r="P105" i="12"/>
  <c r="P141" i="12"/>
  <c r="P132" i="12"/>
  <c r="P121" i="12"/>
  <c r="P133" i="12"/>
  <c r="P98" i="12"/>
  <c r="P110" i="12"/>
  <c r="P87" i="12"/>
  <c r="V82" i="12"/>
  <c r="V119" i="12"/>
  <c r="V84" i="12"/>
  <c r="V86" i="12"/>
  <c r="V88" i="12"/>
  <c r="Y91" i="12"/>
  <c r="Y103" i="12"/>
  <c r="Y92" i="12"/>
  <c r="Y85" i="12"/>
  <c r="Y86" i="12"/>
  <c r="S97" i="12"/>
  <c r="S117" i="12"/>
  <c r="S84" i="12"/>
  <c r="S92" i="12"/>
  <c r="S111" i="12"/>
  <c r="S102" i="12"/>
  <c r="D7" i="7"/>
  <c r="C7" i="7"/>
  <c r="D6" i="7"/>
  <c r="C6" i="7"/>
  <c r="D5" i="7"/>
  <c r="C5" i="7"/>
  <c r="D4" i="7"/>
  <c r="C4" i="7"/>
  <c r="D2" i="7"/>
  <c r="C2" i="7"/>
  <c r="A7" i="6"/>
  <c r="B45" i="2"/>
  <c r="C35" i="2"/>
  <c r="B35" i="2"/>
  <c r="C34" i="2"/>
  <c r="B34" i="2"/>
  <c r="C33" i="2"/>
  <c r="B33" i="2"/>
  <c r="C32" i="2"/>
  <c r="B32" i="2"/>
  <c r="C30" i="2"/>
  <c r="B30" i="2"/>
  <c r="C28" i="2"/>
  <c r="B28" i="2"/>
  <c r="C27" i="2"/>
  <c r="B27" i="2"/>
  <c r="B26" i="2"/>
  <c r="B25" i="2"/>
  <c r="B23" i="2"/>
  <c r="B22" i="2"/>
  <c r="AN1" i="2"/>
  <c r="AI1" i="2"/>
  <c r="AD1" i="2"/>
  <c r="Y1" i="2"/>
  <c r="T1" i="2"/>
  <c r="G34" i="2"/>
  <c r="G27" i="2"/>
  <c r="L13" i="27" l="1"/>
  <c r="B13" i="27" s="1"/>
  <c r="L18" i="27"/>
  <c r="G18" i="27"/>
  <c r="G13" i="27"/>
  <c r="B29" i="6"/>
  <c r="P120" i="12"/>
  <c r="P91" i="12"/>
  <c r="P108" i="12"/>
  <c r="P113" i="12"/>
  <c r="S110" i="12"/>
  <c r="P101" i="12"/>
  <c r="P119" i="12"/>
  <c r="P102" i="12"/>
  <c r="S124" i="12"/>
  <c r="P136" i="12"/>
  <c r="P107" i="12"/>
  <c r="P90" i="12"/>
  <c r="S120" i="12"/>
  <c r="P135" i="12"/>
  <c r="P83" i="12"/>
  <c r="Y96" i="12"/>
  <c r="L14" i="27"/>
  <c r="P79" i="12"/>
  <c r="P126" i="12"/>
  <c r="P123" i="12"/>
  <c r="G14" i="27"/>
  <c r="P103" i="12"/>
  <c r="P77" i="12"/>
  <c r="P111" i="12"/>
  <c r="P82" i="12"/>
  <c r="S86" i="12"/>
  <c r="S81" i="12"/>
  <c r="S78" i="12"/>
  <c r="S109" i="12"/>
  <c r="S106" i="12"/>
  <c r="S112" i="12"/>
  <c r="P99" i="12"/>
  <c r="P96" i="12"/>
  <c r="P117" i="12"/>
  <c r="P138" i="12"/>
  <c r="S80" i="12"/>
  <c r="S116" i="12"/>
  <c r="S107" i="12"/>
  <c r="S125" i="12"/>
  <c r="S118" i="12"/>
  <c r="V127" i="12"/>
  <c r="S119" i="12"/>
  <c r="S121" i="12"/>
  <c r="S114" i="12"/>
  <c r="Y97" i="12"/>
  <c r="P137" i="12"/>
  <c r="P122" i="12"/>
  <c r="P131" i="12"/>
  <c r="P93" i="12"/>
  <c r="P114" i="12"/>
  <c r="S94" i="12"/>
  <c r="S103" i="12"/>
  <c r="S89" i="12"/>
  <c r="S77" i="12"/>
  <c r="S99" i="12"/>
  <c r="Y80" i="12"/>
  <c r="P89" i="12"/>
  <c r="P86" i="12"/>
  <c r="P95" i="12"/>
  <c r="P128" i="12"/>
  <c r="P78" i="12"/>
  <c r="V116" i="12"/>
  <c r="P104" i="12"/>
  <c r="L16" i="27"/>
  <c r="B16" i="27" s="1"/>
  <c r="G30" i="2" s="1"/>
  <c r="S101" i="12"/>
  <c r="S113" i="12"/>
  <c r="S85" i="12"/>
  <c r="S95" i="12"/>
  <c r="V100" i="12"/>
  <c r="P109" i="12"/>
  <c r="S123" i="12"/>
  <c r="S83" i="12"/>
  <c r="P100" i="12"/>
  <c r="P97" i="12"/>
  <c r="P118" i="12"/>
  <c r="P80" i="12"/>
  <c r="S98" i="12"/>
  <c r="S122" i="12"/>
  <c r="S90" i="12"/>
  <c r="S91" i="12"/>
  <c r="P124" i="12"/>
  <c r="P142" i="12"/>
  <c r="S104" i="12"/>
  <c r="S82" i="12"/>
  <c r="S87" i="12"/>
  <c r="P112" i="12"/>
  <c r="P130" i="12"/>
  <c r="P92" i="12"/>
  <c r="S100" i="12"/>
  <c r="S96" i="12"/>
  <c r="S115" i="12"/>
  <c r="S108" i="12"/>
  <c r="V98" i="12"/>
  <c r="P88" i="12"/>
  <c r="P85" i="12"/>
  <c r="P106" i="12"/>
  <c r="P139" i="12"/>
  <c r="L17" i="27"/>
  <c r="B17" i="27" s="1"/>
  <c r="G31" i="2" s="1"/>
  <c r="Y94" i="12"/>
  <c r="Y101" i="12"/>
  <c r="V87" i="12"/>
  <c r="V146" i="12"/>
  <c r="V144" i="12"/>
  <c r="V104" i="12"/>
  <c r="V106" i="12"/>
  <c r="V149" i="12"/>
  <c r="V148" i="12"/>
  <c r="Y105" i="12"/>
  <c r="Y100" i="12"/>
  <c r="V136" i="12"/>
  <c r="V122" i="12"/>
  <c r="V120" i="12"/>
  <c r="V80" i="12"/>
  <c r="V90" i="12"/>
  <c r="V115" i="12"/>
  <c r="V91" i="12"/>
  <c r="Y82" i="12"/>
  <c r="V132" i="12"/>
  <c r="Y93" i="12"/>
  <c r="Y88" i="12"/>
  <c r="V124" i="12"/>
  <c r="V110" i="12"/>
  <c r="V108" i="12"/>
  <c r="V141" i="12"/>
  <c r="V78" i="12"/>
  <c r="V145" i="12"/>
  <c r="V133" i="12"/>
  <c r="Y89" i="12"/>
  <c r="V92" i="12"/>
  <c r="V102" i="12"/>
  <c r="Y81" i="12"/>
  <c r="Y99" i="12"/>
  <c r="V112" i="12"/>
  <c r="V77" i="12"/>
  <c r="V143" i="12"/>
  <c r="V129" i="12"/>
  <c r="V151" i="12"/>
  <c r="V103" i="12"/>
  <c r="V134" i="12"/>
  <c r="Y98" i="12"/>
  <c r="Y104" i="12"/>
  <c r="Y87" i="12"/>
  <c r="V101" i="12"/>
  <c r="V96" i="12"/>
  <c r="V131" i="12"/>
  <c r="V117" i="12"/>
  <c r="V139" i="12"/>
  <c r="V147" i="12"/>
  <c r="V150" i="12"/>
  <c r="V137" i="12"/>
  <c r="V121" i="12"/>
  <c r="V79" i="12"/>
  <c r="Y95" i="12"/>
  <c r="V113" i="12"/>
  <c r="V107" i="12"/>
  <c r="V140" i="12"/>
  <c r="Y90" i="12"/>
  <c r="V95" i="12"/>
  <c r="P115" i="12"/>
  <c r="V93" i="12"/>
  <c r="V135" i="12"/>
  <c r="V81" i="12"/>
  <c r="V138" i="12"/>
  <c r="Y84" i="12"/>
  <c r="Y79" i="12"/>
  <c r="V125" i="12"/>
  <c r="V123" i="12"/>
  <c r="V109" i="12"/>
  <c r="V142" i="12"/>
  <c r="V152" i="12"/>
  <c r="V126" i="12"/>
  <c r="Y102" i="12"/>
  <c r="V111" i="12"/>
  <c r="V130" i="12"/>
  <c r="V114" i="12"/>
  <c r="Y83" i="12"/>
  <c r="V89" i="12"/>
  <c r="V97" i="12"/>
  <c r="V118" i="12"/>
  <c r="V128" i="12"/>
  <c r="S88" i="12"/>
  <c r="S105" i="12"/>
  <c r="Y77" i="12"/>
  <c r="V99" i="12"/>
  <c r="V85" i="12"/>
  <c r="V83" i="12"/>
  <c r="V94" i="12"/>
  <c r="P125" i="12"/>
  <c r="P134" i="12"/>
  <c r="P84" i="12"/>
  <c r="P129" i="12"/>
  <c r="E35" i="37"/>
  <c r="F48" i="37"/>
  <c r="C74" i="37"/>
  <c r="J74" i="37" s="1"/>
  <c r="C59" i="37"/>
  <c r="B17" i="18"/>
  <c r="B8" i="18"/>
  <c r="G45" i="2" s="1"/>
  <c r="G44" i="2" s="1"/>
  <c r="G59" i="37"/>
  <c r="H51" i="16"/>
  <c r="K51" i="16"/>
  <c r="J41" i="16"/>
  <c r="I41" i="16"/>
  <c r="J49" i="16"/>
  <c r="I49" i="16"/>
  <c r="J48" i="16"/>
  <c r="I48" i="16"/>
  <c r="J47" i="16"/>
  <c r="I47" i="16"/>
  <c r="J46" i="16"/>
  <c r="I46" i="16"/>
  <c r="J45" i="16"/>
  <c r="I45" i="16"/>
  <c r="J44" i="16"/>
  <c r="J23" i="16"/>
  <c r="K23" i="16"/>
  <c r="K19" i="16"/>
  <c r="K20" i="16"/>
  <c r="J32" i="16"/>
  <c r="K32" i="16"/>
  <c r="I30" i="16"/>
  <c r="K22" i="16"/>
  <c r="I20" i="16"/>
  <c r="J30" i="16"/>
  <c r="I28" i="16"/>
  <c r="J22" i="16"/>
  <c r="J29" i="16"/>
  <c r="I27" i="16"/>
  <c r="J28" i="16"/>
  <c r="J27" i="16"/>
  <c r="I26" i="16"/>
  <c r="J26" i="16"/>
  <c r="I24" i="16"/>
  <c r="J24" i="16"/>
  <c r="B15" i="27"/>
  <c r="L19" i="27"/>
  <c r="B19" i="27" s="1"/>
  <c r="G33" i="2" s="1"/>
  <c r="G33" i="37"/>
  <c r="J63" i="37"/>
  <c r="G63" i="37"/>
  <c r="G14" i="37"/>
  <c r="J40" i="37"/>
  <c r="G65" i="37"/>
  <c r="G40" i="37"/>
  <c r="G20" i="37"/>
  <c r="H40" i="37"/>
  <c r="J57" i="37"/>
  <c r="G76" i="37"/>
  <c r="G52" i="37"/>
  <c r="J46" i="37"/>
  <c r="G69" i="37"/>
  <c r="J69" i="37"/>
  <c r="J20" i="37"/>
  <c r="J65" i="37"/>
  <c r="J59" i="37"/>
  <c r="I69" i="37"/>
  <c r="J52" i="37"/>
  <c r="J14" i="37"/>
  <c r="G74" i="37"/>
  <c r="J76" i="37"/>
  <c r="C48" i="37"/>
  <c r="C46" i="37"/>
  <c r="H59" i="37"/>
  <c r="J44" i="37"/>
  <c r="G46" i="37"/>
  <c r="H14" i="37"/>
  <c r="E48" i="37"/>
  <c r="G67" i="37"/>
  <c r="F35" i="37"/>
  <c r="I35" i="37" s="1"/>
  <c r="H57" i="37"/>
  <c r="F22" i="37"/>
  <c r="E22" i="37" s="1"/>
  <c r="G57" i="37"/>
  <c r="G44" i="37"/>
  <c r="C18" i="37"/>
  <c r="C44" i="37"/>
  <c r="C20" i="37"/>
  <c r="C22" i="37"/>
  <c r="C40" i="37"/>
  <c r="C61" i="37"/>
  <c r="C63" i="37"/>
  <c r="C69" i="37"/>
  <c r="C33" i="37"/>
  <c r="C65" i="37"/>
  <c r="C35" i="37"/>
  <c r="C67" i="37"/>
  <c r="J67" i="37" s="1"/>
  <c r="C12" i="37"/>
  <c r="C57" i="37"/>
  <c r="C76" i="37"/>
  <c r="C14" i="37"/>
  <c r="C52" i="37"/>
  <c r="D48" i="37"/>
  <c r="J33" i="37"/>
  <c r="B18" i="27" l="1"/>
  <c r="G32" i="2" s="1"/>
  <c r="G29" i="2" s="1"/>
  <c r="B30" i="6"/>
  <c r="G16" i="2" s="1"/>
  <c r="G11" i="2" s="1"/>
  <c r="B14" i="27"/>
  <c r="C72" i="37"/>
  <c r="J33" i="16"/>
  <c r="I51" i="16"/>
  <c r="I33" i="16"/>
  <c r="J51" i="16"/>
  <c r="K33" i="16"/>
  <c r="K4" i="16"/>
  <c r="J4" i="16"/>
  <c r="I4" i="16"/>
  <c r="J72" i="37"/>
  <c r="H35" i="37"/>
  <c r="G48" i="37"/>
  <c r="I22" i="37"/>
  <c r="I81" i="37" s="1"/>
  <c r="J35" i="37"/>
  <c r="G35" i="37"/>
  <c r="C38" i="37"/>
  <c r="C55" i="37"/>
  <c r="C10" i="37"/>
  <c r="J48" i="37"/>
  <c r="J38" i="37" s="1"/>
  <c r="H22" i="37"/>
  <c r="J22" i="37"/>
  <c r="G22" i="37"/>
  <c r="G22" i="2" l="1"/>
  <c r="G21" i="2" s="1"/>
  <c r="H14" i="16"/>
  <c r="H10" i="16"/>
  <c r="H12" i="16"/>
  <c r="D14" i="16"/>
  <c r="G42" i="2" s="1"/>
  <c r="G40" i="2" s="1"/>
  <c r="J12" i="37"/>
  <c r="J10" i="37" s="1"/>
  <c r="G12" i="37"/>
  <c r="J84" i="37"/>
  <c r="C79" i="37"/>
  <c r="J83" i="37"/>
  <c r="H81" i="37"/>
  <c r="F8" i="2" l="1"/>
  <c r="G47" i="2" s="1"/>
  <c r="C24" i="33"/>
  <c r="B18" i="1" l="1"/>
  <c r="E61" i="37"/>
  <c r="F61" i="37"/>
  <c r="J61" i="37" l="1"/>
  <c r="J55" i="37" s="1"/>
  <c r="G61" i="37"/>
  <c r="G18" i="37" l="1"/>
  <c r="G81" i="37" s="1"/>
  <c r="G80" i="37" s="1"/>
  <c r="J79" i="37"/>
  <c r="H80" i="37" s="1"/>
  <c r="I80" i="37" l="1"/>
  <c r="J81" i="37" s="1"/>
  <c r="C23" i="33"/>
</calcChain>
</file>

<file path=xl/sharedStrings.xml><?xml version="1.0" encoding="utf-8"?>
<sst xmlns="http://schemas.openxmlformats.org/spreadsheetml/2006/main" count="1522" uniqueCount="802">
  <si>
    <t xml:space="preserve">Projektdaten </t>
  </si>
  <si>
    <t>Genaue Bezeichnung des Bauvorhabens</t>
  </si>
  <si>
    <t>QNG-NW23-N</t>
  </si>
  <si>
    <t>Gebäude- und Nutzungsart</t>
  </si>
  <si>
    <t>QNG-NW23-K</t>
  </si>
  <si>
    <t>Maßnahmenart</t>
  </si>
  <si>
    <t>Neubau</t>
  </si>
  <si>
    <t>QNG-WG23-N</t>
  </si>
  <si>
    <t>Standortgemeinde</t>
  </si>
  <si>
    <t>QNG-WG23-K</t>
  </si>
  <si>
    <t>Datum der Baueingabe</t>
  </si>
  <si>
    <t>Zeitpunkt der Fertigstellung</t>
  </si>
  <si>
    <t>Bruttogrundfläche BGF (m²)</t>
  </si>
  <si>
    <t>Bruttorauminhalt BRI (m³)</t>
  </si>
  <si>
    <t>Primärenergiebedarf Nutzungsphase Qp (kWh/m²a)</t>
  </si>
  <si>
    <t>Treibhausgasemissionen im Gebäudelebenszyklus (kg CO2-Ä./m²a)</t>
  </si>
  <si>
    <t>Grad der Barrierefreiheit</t>
  </si>
  <si>
    <t>Netto Bauwerkskosten KG 300 und KG 400 (€)</t>
  </si>
  <si>
    <t>QNG Siegelvariante</t>
  </si>
  <si>
    <t>LNB_QNG-Bewertungspunkte</t>
  </si>
  <si>
    <t>Erreichtes QNG Anforderungsniveau</t>
  </si>
  <si>
    <t>LNB_QNG - Konformitätsbestätigung</t>
  </si>
  <si>
    <t>Genaue Firmenbezeichnung der Konformitätsbewertungsstelle</t>
  </si>
  <si>
    <t>Name des LNB_QNG-Auditors</t>
  </si>
  <si>
    <t xml:space="preserve">LNB_QNG - Erstelldatum </t>
  </si>
  <si>
    <t>Der LNB_QNG-Auditor bestätigt mit nachstehenden Erklärungen, dass
- die Erstelllung des Leitfaden für Nachhaltiges Bauen für das Qualitätssiegel Nachhaltiges Gebäude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LNB_QNG-Auditor bewusst ist, dass, falls sich nachträglich herausstellt, dass die Bewertungspunkte nicht stimmen sollten, es zu einer Kürzung des Fördersatzes und der maximal anerkennbaren Kosten für die Gemeinde kommen kann.</t>
  </si>
  <si>
    <t>Firmen-Stempel und Unterschrift</t>
  </si>
  <si>
    <t xml:space="preserve"> </t>
  </si>
  <si>
    <t xml:space="preserve">LNB - Leitfaden Nachhaltig Bauen - 
LNB-Bewertung Öffentliche Gebäude 
- Version 2024 - 1
</t>
  </si>
  <si>
    <t>Objekttyp / Funktion des Gebäudes</t>
  </si>
  <si>
    <t>Architekt</t>
  </si>
  <si>
    <t>LNB-Bewertungspunkte</t>
  </si>
  <si>
    <t>LNB - Zertifizierung</t>
  </si>
  <si>
    <t>LNB Zertifizierungsstelle</t>
  </si>
  <si>
    <t>LNB Zertifizierer</t>
  </si>
  <si>
    <t xml:space="preserve">LNB - Erstelldatum </t>
  </si>
  <si>
    <t>Der LNB-Zertifizierer bestätigt mit nachstehenden Erklärungen, dass
- die Erstelllung des Leitfaden Nachhaltig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</si>
  <si>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Datum</t>
  </si>
  <si>
    <t>Projekt</t>
  </si>
  <si>
    <t>Stand 1</t>
  </si>
  <si>
    <t>Stand 2</t>
  </si>
  <si>
    <t>Stand 3</t>
  </si>
  <si>
    <t>Stand 4</t>
  </si>
  <si>
    <t>Stand 5</t>
  </si>
  <si>
    <t>Stand 6</t>
  </si>
  <si>
    <r>
      <rPr>
        <b/>
        <sz val="11"/>
        <color indexed="2"/>
        <rFont val="Arial"/>
        <family val="2"/>
      </rPr>
      <t>Bitte wählen Sie</t>
    </r>
    <r>
      <rPr>
        <b/>
        <sz val="11"/>
        <rFont val="Arial"/>
        <family val="2"/>
      </rPr>
      <t xml:space="preserve">
Bei dem Gebäude handelt es sich um einen/eine:</t>
    </r>
  </si>
  <si>
    <t>Gesamt</t>
  </si>
  <si>
    <t>Stand:</t>
  </si>
  <si>
    <t>Nr.</t>
  </si>
  <si>
    <t>Titel</t>
  </si>
  <si>
    <t>max. Punktzahl</t>
  </si>
  <si>
    <t>erreichte Punkte</t>
  </si>
  <si>
    <t>Punkte</t>
  </si>
  <si>
    <t>Anmerkungen:</t>
  </si>
  <si>
    <t>A</t>
  </si>
  <si>
    <t>Eingabefelder</t>
  </si>
  <si>
    <t>Rechenfelder</t>
  </si>
  <si>
    <t>1.</t>
  </si>
  <si>
    <t>Fahrradabstellplätze und Elektromobilität</t>
  </si>
  <si>
    <t>Haustechnik-Konzept</t>
  </si>
  <si>
    <t>Reinigungs- und Instandhaltungsfreundlichkeit</t>
  </si>
  <si>
    <t>Regenwassernutzung</t>
  </si>
  <si>
    <t>B</t>
  </si>
  <si>
    <t>Nutzung erneuerbarer Energiequellen</t>
  </si>
  <si>
    <t>differenzierte Verbrauchserfassung (MUSSKRITERIUM)</t>
  </si>
  <si>
    <t xml:space="preserve">M </t>
  </si>
  <si>
    <t>2b</t>
  </si>
  <si>
    <t>Primärenergiebedarf Qp</t>
  </si>
  <si>
    <t>5b</t>
  </si>
  <si>
    <t>6b</t>
  </si>
  <si>
    <t>M</t>
  </si>
  <si>
    <t>C</t>
  </si>
  <si>
    <t>Thermischer Komfort im Sommer</t>
  </si>
  <si>
    <t xml:space="preserve">Messung Raumluftqualität </t>
  </si>
  <si>
    <t>D</t>
  </si>
  <si>
    <t>Punkteschlüssel und Zuordnung zu Kriterienblöcken</t>
  </si>
  <si>
    <t>Zuordnung WG</t>
  </si>
  <si>
    <t>Zuordnung NiwoG</t>
  </si>
  <si>
    <t>Kriterien-Nummer</t>
  </si>
  <si>
    <t>Kriterien QNG</t>
  </si>
  <si>
    <t>Beschreibung</t>
  </si>
  <si>
    <t>entsprechendes Angebot LNB</t>
  </si>
  <si>
    <t>Erfüllungsgrad</t>
  </si>
  <si>
    <t>Kriterium LNB 2022</t>
  </si>
  <si>
    <t>Bearbeitung -Abstimmung 16.3.22</t>
  </si>
  <si>
    <t>Ergebnis 12.4.22</t>
  </si>
  <si>
    <t>Status 18.5.22</t>
  </si>
  <si>
    <t>Status 7.6.22</t>
  </si>
  <si>
    <t>Status 21.6.</t>
  </si>
  <si>
    <t>Bepunktung Zielwerte - Stand 29.6.22  (Sollwert immer 0 Punkte)</t>
  </si>
  <si>
    <t>Kommentierung Bepunktung</t>
  </si>
  <si>
    <t>Punkte berechnet WG-N</t>
  </si>
  <si>
    <t>Punkte berechnet WG-K</t>
  </si>
  <si>
    <t>Punkte berechnet NW-N</t>
  </si>
  <si>
    <t>Punkte berechnet NW-K</t>
  </si>
  <si>
    <t>Kriterienzuordnung</t>
  </si>
  <si>
    <t>2a</t>
  </si>
  <si>
    <t>x</t>
  </si>
  <si>
    <t>01 - Flächeninanspruchnahme</t>
  </si>
  <si>
    <t>SE: Definition Flächen; Bezugsfläche eindeutig definieren</t>
  </si>
  <si>
    <t>inhaltlich ok</t>
  </si>
  <si>
    <t>Ökolog.</t>
  </si>
  <si>
    <t>02a - Energie und Versorgung– Primärenergie</t>
  </si>
  <si>
    <t>02b - Energie und Versorgung – CO2-Äquivalente</t>
  </si>
  <si>
    <t>03 - Flexibilität und Anpassungsfähigkeit</t>
  </si>
  <si>
    <t>04 - Trinkwasserbedarf in der Nutzungsphase</t>
  </si>
  <si>
    <t>05 - Rückbau- und Recyclingfreundlichkeit</t>
  </si>
  <si>
    <t>06 - Schadstoffvermeidung in Baumaterialien</t>
  </si>
  <si>
    <t>07 - Barrierefreiheit</t>
  </si>
  <si>
    <t>08 - Schaffung von Voraussetzungen für Bewirtschaftung</t>
  </si>
  <si>
    <t>09 - Flächeneffizienz</t>
  </si>
  <si>
    <t>10 - Erfüllung von Nutzeranforderungen inkl. Qualitätskontrolle der Bauausführung</t>
  </si>
  <si>
    <t>11 - Thermischer Komfort</t>
  </si>
  <si>
    <t>12 - Visueller Komfort</t>
  </si>
  <si>
    <t>13 - Schallschutz</t>
  </si>
  <si>
    <t>14 - Nachhaltige Beschaffung</t>
  </si>
  <si>
    <t>15 - Lebenszykluskosten</t>
  </si>
  <si>
    <t>16 - Qualität der Projektvorbereitung</t>
  </si>
  <si>
    <t>17 - Bestandsanalyse</t>
  </si>
  <si>
    <t>18 - Rückbaumaßnahmen</t>
  </si>
  <si>
    <t>19 - Naturgefahren am Standort</t>
  </si>
  <si>
    <t>20 - Gründach</t>
  </si>
  <si>
    <t>Summe</t>
  </si>
  <si>
    <t>CT/ MG: Anhang beachten - Zielwerte, siehe Anlage 3
MB: Energie und Versorgung (Abstimmung mit Maucher)</t>
  </si>
  <si>
    <t>Block B inhaltlich ok, Materialisierung kommt von Gundi bis 20.5.</t>
  </si>
  <si>
    <t>DL Zusammenführung prüfen, Tendenz 2 Kriterien und diese zusammenführen; MB Variante beibehalten; EH-Haus 50; Ergebnis mit MG abstimmen</t>
  </si>
  <si>
    <t>MG  prüft LCA Teil mit MB</t>
  </si>
  <si>
    <t>Ökonom.</t>
  </si>
  <si>
    <t>Soz.</t>
  </si>
  <si>
    <t>SE: Raumtiefe, Raumhöhe, etc</t>
  </si>
  <si>
    <t>inhaltlich ok - Zusammenhang zu Flächeneffizienz? MW prüft Zusammenführung mit Kriterium 9</t>
  </si>
  <si>
    <t>Prozess</t>
  </si>
  <si>
    <t>SE: Umsetzung, event. wassersparende Armaturen ergänzen</t>
  </si>
  <si>
    <t>Überarbeitung offen - SE</t>
  </si>
  <si>
    <t>MG: in Ökobilanz enthalten zusätzlich EI 10</t>
  </si>
  <si>
    <t>kommt bis 20.5. von Gundi</t>
  </si>
  <si>
    <t>Rückmeldung CT (Gundi)</t>
  </si>
  <si>
    <t>diskutieren</t>
  </si>
  <si>
    <t>CT: konform mit Anhang 313?</t>
  </si>
  <si>
    <t>Prüfund Konformität mit Anlage 3 offen - Aufgabe für Mathias Winder</t>
  </si>
  <si>
    <t>Abstimmung Mathias offen</t>
  </si>
  <si>
    <t>Rückmeldung Anerkennung ÖkoBauKriterien bei BBSR offen</t>
  </si>
  <si>
    <t>SE: ergänzt Ready Mindeststandard</t>
  </si>
  <si>
    <t>offen - SE</t>
  </si>
  <si>
    <t>MB: differnzierte Verbrauchserfassung</t>
  </si>
  <si>
    <t>SE: Bezug Nutzfläche zu BGF</t>
  </si>
  <si>
    <t>SE/DL: Fahrradabstellfächen/ Trockenräume etc.</t>
  </si>
  <si>
    <t>MB/CT</t>
  </si>
  <si>
    <t>CT-typischer und kritische Raum beschreiben</t>
  </si>
  <si>
    <t>CT</t>
  </si>
  <si>
    <t>MG: in PD ergänzen: 50% bzw. 80% Hölzer aus nachhaltiger Forstwirtschaft; wie kann pragmatisch der Holztanteil ermittelt werden? aus OI-Index verbaute Materialien entnehmen? Länderliste mit PEFC</t>
  </si>
  <si>
    <t>inhaltlich ok - event. schwierig: Recyclingquoten, Begriffsdefinitionen nachfragen</t>
  </si>
  <si>
    <t>Formatierung offfen</t>
  </si>
  <si>
    <t>MB:VDI 2067, mind. 1 Berechnung; Bonus: 3</t>
  </si>
  <si>
    <t>SE: Block A; LNB übernehmen Bedarfsplanung, Information der Öffentlichkeit, Erstellung eines Pflichtenhefts; Einbeziehung Behörden, Martkerhebung - Architekturwettbewerb als hoher Standard - DGNB vergleichen</t>
  </si>
  <si>
    <t>MG/CT: Raumluftmessung Mindestanforderung; 4 Stufen bei Innenraumluft</t>
  </si>
  <si>
    <t>ist im Kriterium 10 enthalten</t>
  </si>
  <si>
    <t>gemeinsam mit Kriterium 10 abgebildet</t>
  </si>
  <si>
    <t>in Ausarbeitung</t>
  </si>
  <si>
    <t xml:space="preserve">offen </t>
  </si>
  <si>
    <t>diskutieren, von Siegi prüfen lassen, gesetzliche Anforderungen prüfen; MG schickt die Unterlagen an SL</t>
  </si>
  <si>
    <t>Kriterium</t>
  </si>
  <si>
    <t>Auswertung</t>
  </si>
  <si>
    <t>max. 30</t>
  </si>
  <si>
    <t>max. 15</t>
  </si>
  <si>
    <r>
      <t xml:space="preserve">Fenster </t>
    </r>
    <r>
      <rPr>
        <sz val="10"/>
        <rFont val="Arial"/>
        <family val="2"/>
      </rPr>
      <t>mind. 80% aus entsprechendem Holz und 100% der Fenster PVC-frei</t>
    </r>
  </si>
  <si>
    <t>Maßnahme</t>
  </si>
  <si>
    <t>Zielerreichung</t>
  </si>
  <si>
    <t>Punkte (gesamt Max. 60)</t>
  </si>
  <si>
    <t>Fachberatung</t>
  </si>
  <si>
    <t>Beratungsprotokoll</t>
  </si>
  <si>
    <t>Artenschutz</t>
  </si>
  <si>
    <t>Artenschutz am Gebäude</t>
  </si>
  <si>
    <t>Nebenrechnung</t>
  </si>
  <si>
    <t>Fläche in m²</t>
  </si>
  <si>
    <t>Schutz vor Überschwemmungen</t>
  </si>
  <si>
    <t>Vermeidung von Überhitzung</t>
  </si>
  <si>
    <t>Angaben zum Objekt</t>
  </si>
  <si>
    <t>Objekttyp</t>
  </si>
  <si>
    <t>Verwaltungsgebäude</t>
  </si>
  <si>
    <t>mit "x" markieren</t>
  </si>
  <si>
    <t xml:space="preserve">Abstand von überdachten Abstellanlagen &gt; 30 m </t>
  </si>
  <si>
    <r>
      <t>Mindest- und Optimalausstattung</t>
    </r>
    <r>
      <rPr>
        <sz val="10"/>
        <color indexed="64"/>
        <rFont val="Arial"/>
        <family val="2"/>
      </rPr>
      <t xml:space="preserve"> (in Abhängkeit von Objektyp, Gemeindekategorie und Ständersystem)</t>
    </r>
  </si>
  <si>
    <r>
      <t xml:space="preserve">Stellplätze
</t>
    </r>
    <r>
      <rPr>
        <sz val="10"/>
        <color indexed="64"/>
        <rFont val="Arial"/>
        <family val="2"/>
      </rPr>
      <t>(aufgerundete Zahlen)</t>
    </r>
  </si>
  <si>
    <t>Mindestausstattung</t>
  </si>
  <si>
    <t>Optimalausstattung</t>
  </si>
  <si>
    <t>Elektromobilität</t>
  </si>
  <si>
    <t xml:space="preserve">Punkte </t>
  </si>
  <si>
    <t>Ladestationen mehrspurige Elektrofahrzeuge</t>
  </si>
  <si>
    <t>hier mind.:</t>
  </si>
  <si>
    <t>Mind. 1 Wallbox (Typ 2), bei über 10 Stellplätzen eine weitere Wallbox pro angefangene 10 Stellplätze</t>
  </si>
  <si>
    <t>Lademöglichkeit Elektro-Fahrräder</t>
  </si>
  <si>
    <t>Pro angefangene 20 Abstellplätze für Fahrräder mindestens eine Lademöglichkeit vorhanden</t>
  </si>
  <si>
    <t>Max. 10</t>
  </si>
  <si>
    <t>Punkteermittlung</t>
  </si>
  <si>
    <t>Punkte bei Erreichung der Mindestausstattung</t>
  </si>
  <si>
    <t>Bezugsgröße</t>
  </si>
  <si>
    <t>min</t>
  </si>
  <si>
    <t>max</t>
  </si>
  <si>
    <t>Nutzungsfläche in m²</t>
  </si>
  <si>
    <t>Kindergärten</t>
  </si>
  <si>
    <t>Anzahl Gruppenräume</t>
  </si>
  <si>
    <t>Allgemeinbildende Schulen</t>
  </si>
  <si>
    <t>Anzahl Schüler</t>
  </si>
  <si>
    <t>Berufsschulen</t>
  </si>
  <si>
    <t>Altenwohnheime / Pflegeheime</t>
  </si>
  <si>
    <t>Anzahl Plätze</t>
  </si>
  <si>
    <t>Veranstaltungsgebäude</t>
  </si>
  <si>
    <t>Anzahl Besucherplätze</t>
  </si>
  <si>
    <t>Verwaltungsgebäude:</t>
  </si>
  <si>
    <t>Anforderung: 1 Stellplatz / 100 m² Nutzungsfläche</t>
  </si>
  <si>
    <t>Mindestanforderung: 1 Stellplatz / 95 m² Nutzungsfläche</t>
  </si>
  <si>
    <t>Optimale Ausstattung: 1 Stellplatz / 80 m² Nutzungsfläche</t>
  </si>
  <si>
    <t>Kindergärten:</t>
  </si>
  <si>
    <t>Anforderung: 5 Stellplätze / Gruppenraum</t>
  </si>
  <si>
    <t>Mindestanforderung: 5,25 Stellplätze / Gruppenraum</t>
  </si>
  <si>
    <t>Optimale Ausstattung: 6 Stellplätze / Gruppenraum</t>
  </si>
  <si>
    <t>Allgemeinbildende Schulen:</t>
  </si>
  <si>
    <t>Anforderung: 1 Stellplatz / 3 Schüler</t>
  </si>
  <si>
    <t>Mindestanforderung: 1 Stellplatz / 2,85 Schüler</t>
  </si>
  <si>
    <t>Optimale Ausstattung: 1 Stellplatz / 2,4 Schüler</t>
  </si>
  <si>
    <t xml:space="preserve">Berufsschulen: </t>
  </si>
  <si>
    <t>Anforderung: 1 Stellplatz / 5 Schüler</t>
  </si>
  <si>
    <t>Mindestanforderung: 1 Stellplatz / 4,75 Schüler</t>
  </si>
  <si>
    <t>Optimale Ausstattung: 1 Stellplatz / 4 Schüler</t>
  </si>
  <si>
    <t>Altenwohnheime/Pflegeheime</t>
  </si>
  <si>
    <t>Anforderung: 1 Stellplatz / 10 Plätze</t>
  </si>
  <si>
    <t>Mindestanforderung: 1 Stellplatz / 9,5 Plätze</t>
  </si>
  <si>
    <t>Optimale Ausstattung: 1 Stellplatz / 8 Plätze</t>
  </si>
  <si>
    <t>Veranstaltungsgebäude:</t>
  </si>
  <si>
    <t>Anforderung: 1 Stellplatz / 10 Besucherplätze</t>
  </si>
  <si>
    <t>Mindestanforderung: 1 Stellplatz / 9,5 Besucherplätze</t>
  </si>
  <si>
    <t>Optimale Ausstattung: 1 Stellplatz / 8 Besucherplätze</t>
  </si>
  <si>
    <t>Kommentierung Haustechnik</t>
  </si>
  <si>
    <t>Konzept für Betrieb &amp; Wartung</t>
  </si>
  <si>
    <t>Einregulierung</t>
  </si>
  <si>
    <t>max. 6</t>
  </si>
  <si>
    <t>Schmutzfangzonen</t>
  </si>
  <si>
    <t>max. 3</t>
  </si>
  <si>
    <t>max. 2</t>
  </si>
  <si>
    <t>Punkte 
(gesamt max. 10)</t>
  </si>
  <si>
    <t>Auswahl Dimensionierungsart</t>
  </si>
  <si>
    <t>Bewässerung/WCs</t>
  </si>
  <si>
    <t>Nutzungstage Gebäude pro Woche</t>
  </si>
  <si>
    <t>Dachfläche</t>
  </si>
  <si>
    <t>Anzahl WC's</t>
  </si>
  <si>
    <t>Anzahl Urinale</t>
  </si>
  <si>
    <t>Zu bewässernde Außenanlagen (m²)</t>
  </si>
  <si>
    <t>Anschließbare Dachfläche (m²)</t>
  </si>
  <si>
    <t>Dimensionierung der Zisterne (l)</t>
  </si>
  <si>
    <t>Rechenfelder Neubau</t>
  </si>
  <si>
    <t>Rechenfelder Sanierung</t>
  </si>
  <si>
    <t>Eingabefeld PHPP Neubau</t>
  </si>
  <si>
    <t>Eingabefeld PHPP Sanierung</t>
  </si>
  <si>
    <t>Energiebezugsfläche PHPP</t>
  </si>
  <si>
    <t>m²</t>
  </si>
  <si>
    <t>Spezifischer Heizwärmbedarf HWB</t>
  </si>
  <si>
    <t>kWh/m²a</t>
  </si>
  <si>
    <t>Kühlbedarf KB</t>
  </si>
  <si>
    <t>inklusiv aller internen Lasten auch Betriebsstrom</t>
  </si>
  <si>
    <t>Primärenergiebedarf</t>
  </si>
  <si>
    <t>CO2</t>
  </si>
  <si>
    <t>kgCO2/m²a</t>
  </si>
  <si>
    <t>kWh/a</t>
  </si>
  <si>
    <t xml:space="preserve">PV Ertrag mit Eigenbedarfsdeckung </t>
  </si>
  <si>
    <t>Eigennutzung PV</t>
  </si>
  <si>
    <t>Bitte mit "x" markieren</t>
  </si>
  <si>
    <t>Ergebnisse</t>
  </si>
  <si>
    <t>Ergebnisse Neubau</t>
  </si>
  <si>
    <t>Ergebnisse Sanierung</t>
  </si>
  <si>
    <t>Primärenergiebedarf korrigiert</t>
  </si>
  <si>
    <t>kWh/(m²a)</t>
  </si>
  <si>
    <r>
      <t>CO</t>
    </r>
    <r>
      <rPr>
        <vertAlign val="subscript"/>
        <sz val="10"/>
        <color theme="1"/>
        <rFont val="Arial"/>
        <family val="2"/>
      </rPr>
      <t>2</t>
    </r>
    <r>
      <rPr>
        <sz val="10"/>
        <color theme="1"/>
        <rFont val="Arial"/>
        <family val="2"/>
      </rPr>
      <t xml:space="preserve"> korrigiert</t>
    </r>
  </si>
  <si>
    <r>
      <t>kg</t>
    </r>
    <r>
      <rPr>
        <vertAlign val="subscript"/>
        <sz val="10"/>
        <color theme="1"/>
        <rFont val="Arial"/>
        <family val="2"/>
      </rPr>
      <t>CO2</t>
    </r>
    <r>
      <rPr>
        <sz val="10"/>
        <color theme="1"/>
        <rFont val="Arial"/>
        <family val="2"/>
      </rPr>
      <t>/(m²a)</t>
    </r>
  </si>
  <si>
    <t>kgCO2/(m²a)</t>
  </si>
  <si>
    <t>HWB-Punkte</t>
  </si>
  <si>
    <t>KB-Punkte</t>
  </si>
  <si>
    <t>PEB-Punkte</t>
  </si>
  <si>
    <t>Wert</t>
  </si>
  <si>
    <t>HWB-Grenzwerte oben</t>
  </si>
  <si>
    <t>HWB-Grenzwerte unten</t>
  </si>
  <si>
    <t>von 60 auf 50</t>
  </si>
  <si>
    <t>KB-Grenzwerte oben</t>
  </si>
  <si>
    <t>KB-Grenzwerte unten</t>
  </si>
  <si>
    <t>von 55 auf 45</t>
  </si>
  <si>
    <t>PEB-Grenzwerte oben</t>
  </si>
  <si>
    <t>PEB-Grenzwerte unten</t>
  </si>
  <si>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</si>
  <si>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</si>
  <si>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Sanierung</t>
  </si>
  <si>
    <t>Heizwärmebedarf</t>
  </si>
  <si>
    <t>Kühlbedarf</t>
  </si>
  <si>
    <r>
      <t>CO</t>
    </r>
    <r>
      <rPr>
        <vertAlign val="subscript"/>
        <sz val="10"/>
        <color theme="1"/>
        <rFont val="Arial"/>
        <family val="2"/>
      </rPr>
      <t>2</t>
    </r>
    <r>
      <rPr>
        <sz val="10"/>
        <color theme="1"/>
        <rFont val="Arial"/>
        <family val="2"/>
      </rPr>
      <t>-Äquivalente</t>
    </r>
  </si>
  <si>
    <t>Eingabe</t>
  </si>
  <si>
    <t>Eingabefeld GEG Neubau</t>
  </si>
  <si>
    <t>Eingabefeld GEG Sanierung</t>
  </si>
  <si>
    <t>Bezugsfläche</t>
  </si>
  <si>
    <r>
      <t>m</t>
    </r>
    <r>
      <rPr>
        <vertAlign val="superscript"/>
        <sz val="10"/>
        <color theme="1"/>
        <rFont val="Arial"/>
        <family val="2"/>
      </rPr>
      <t>2</t>
    </r>
  </si>
  <si>
    <t>Nutzenergie Heizung Qh,b,</t>
  </si>
  <si>
    <r>
      <t>Nutzenergie Kühlung Q</t>
    </r>
    <r>
      <rPr>
        <vertAlign val="subscript"/>
        <sz val="10"/>
        <color theme="1"/>
        <rFont val="Arial"/>
        <family val="2"/>
      </rPr>
      <t>c,b</t>
    </r>
  </si>
  <si>
    <r>
      <t>Primärenergiebedarf Q</t>
    </r>
    <r>
      <rPr>
        <vertAlign val="subscript"/>
        <sz val="10"/>
        <color theme="1"/>
        <rFont val="Arial"/>
        <family val="2"/>
      </rPr>
      <t>p</t>
    </r>
  </si>
  <si>
    <r>
      <t>Emissionen CO</t>
    </r>
    <r>
      <rPr>
        <vertAlign val="subscript"/>
        <sz val="10"/>
        <color theme="1"/>
        <rFont val="Arial"/>
        <family val="2"/>
      </rPr>
      <t>2</t>
    </r>
    <r>
      <rPr>
        <sz val="10"/>
        <color theme="1"/>
        <rFont val="Arial"/>
        <family val="2"/>
      </rPr>
      <t>-Äquivalente</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</si>
  <si>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</si>
  <si>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</si>
  <si>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</si>
  <si>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</si>
  <si>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</si>
  <si>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</si>
  <si>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</si>
  <si>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</si>
  <si>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</si>
  <si>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</si>
  <si>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</si>
  <si>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</si>
  <si>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t xml:space="preserve">von 55 auf 45 </t>
  </si>
  <si>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</si>
  <si>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</si>
  <si>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t xml:space="preserve">Konversionsfaktor Altbau </t>
  </si>
  <si>
    <r>
      <t>Em. CO</t>
    </r>
    <r>
      <rPr>
        <vertAlign val="subscript"/>
        <sz val="10"/>
        <color theme="1"/>
        <rFont val="Arial"/>
        <family val="2"/>
      </rPr>
      <t>2</t>
    </r>
    <r>
      <rPr>
        <sz val="10"/>
        <color theme="1"/>
        <rFont val="Arial"/>
        <family val="2"/>
      </rPr>
      <t>-Äquivalente</t>
    </r>
  </si>
  <si>
    <t xml:space="preserve">Auswertung </t>
  </si>
  <si>
    <t>Bestimmung der maximal zulässigen Übertemperaturgradstunden</t>
  </si>
  <si>
    <t>Nachweis über den thermischen Komfort im Sommer</t>
  </si>
  <si>
    <t xml:space="preserve">Nutzungsstunden pro Jahr </t>
  </si>
  <si>
    <t>h/a</t>
  </si>
  <si>
    <t>Nachweis PHPP Überschreitung 26 °C &lt; 1 % (Jahresbetrachtung)</t>
  </si>
  <si>
    <t>Übertemperaturgradstunden (maximal zulässig)</t>
  </si>
  <si>
    <t>Kh/a</t>
  </si>
  <si>
    <t xml:space="preserve">Nachweis Einhaltung der DIN 4108-2 (für alle kritischen Räume) und Glasanteil der vertikalen Fassade des Gebäudes &lt;= 35% </t>
  </si>
  <si>
    <t>Übertemperaturgradstunden- unterschreitung um 20 %</t>
  </si>
  <si>
    <t>Zusatzpunkte bei Ausführung einer passiven Kühlung  (z.B. freie Nachtlüftung, mechanische Lüftungsanlage, adiabate Abluftbefeuchtung, Grundwasserkühlung ohne Kompressionskälte, Solekühlung ohne Kompressionskälte)</t>
  </si>
  <si>
    <t>max. 75</t>
  </si>
  <si>
    <t>Punkte (gesamt max. 10)</t>
  </si>
  <si>
    <t>Kl I</t>
  </si>
  <si>
    <t>&lt; 300 µg/m³</t>
  </si>
  <si>
    <t>50 Punkte</t>
  </si>
  <si>
    <t>Kl II</t>
  </si>
  <si>
    <t>≥ 300 - &lt; 500 µg/m³</t>
  </si>
  <si>
    <t>35 Punkte</t>
  </si>
  <si>
    <t>Formaldehyd</t>
  </si>
  <si>
    <t>Kl III</t>
  </si>
  <si>
    <t>≥ 500 - &lt; 1.000 µg/m³</t>
  </si>
  <si>
    <t>20 Punkte</t>
  </si>
  <si>
    <t>Kl IV</t>
  </si>
  <si>
    <t xml:space="preserve"> ≥ 1.000 – &lt; 3000 µg/m³</t>
  </si>
  <si>
    <t>0 Punkte, 
Quellensuche empfohlen</t>
  </si>
  <si>
    <t>≥ 3.000 µg/m³</t>
  </si>
  <si>
    <t>Quellensuche erforderlich</t>
  </si>
  <si>
    <t>ZIELWERT</t>
  </si>
  <si>
    <t>&lt; 0,04 ppm</t>
  </si>
  <si>
    <t>Mindestanforderung</t>
  </si>
  <si>
    <t>Sollwert</t>
  </si>
  <si>
    <t>Zielwert</t>
  </si>
  <si>
    <t>≥ 0,04 - &lt; 0,08 ppm</t>
  </si>
  <si>
    <t>10 Punkte</t>
  </si>
  <si>
    <t>SOLLWERT</t>
  </si>
  <si>
    <t>VOC + Formaldehyd</t>
  </si>
  <si>
    <t>≥ 0,08 - &lt; 0,1 ppm</t>
  </si>
  <si>
    <t>5 Punkte</t>
  </si>
  <si>
    <t>≥ 0,1 ppm</t>
  </si>
  <si>
    <t>MINDESTANFORDERUNG</t>
  </si>
  <si>
    <t>Abfrage Einzelwerte</t>
  </si>
  <si>
    <t>Ergebnis Messung (µg/m³)</t>
  </si>
  <si>
    <t>Messwert*Fläche</t>
  </si>
  <si>
    <t xml:space="preserve">Sollwert </t>
  </si>
  <si>
    <t>Messung 1</t>
  </si>
  <si>
    <t>Messung 2</t>
  </si>
  <si>
    <t>Messung 3</t>
  </si>
  <si>
    <t>Messung 4</t>
  </si>
  <si>
    <t>Messung 5</t>
  </si>
  <si>
    <t>Messung 6</t>
  </si>
  <si>
    <t>Messung 7</t>
  </si>
  <si>
    <t>Messung 8</t>
  </si>
  <si>
    <t>Messung 9</t>
  </si>
  <si>
    <t>Messung 10</t>
  </si>
  <si>
    <t>Messung 11</t>
  </si>
  <si>
    <t>Messung 12</t>
  </si>
  <si>
    <t>Messung 13</t>
  </si>
  <si>
    <t>Messung 14</t>
  </si>
  <si>
    <t>Messung 15</t>
  </si>
  <si>
    <r>
      <rPr>
        <sz val="10"/>
        <rFont val="Arial"/>
        <family val="2"/>
      </rPr>
      <t>Kunststofffolien und Vliese jeglicher Art (Dampfbremsen, Abdichtungsbahnen, Trennschichten, Baufolien etc.)</t>
    </r>
    <r>
      <rPr>
        <sz val="10"/>
        <color indexed="8"/>
        <rFont val="Arial"/>
        <family val="2"/>
      </rPr>
      <t xml:space="preserve"> und Dichtstoffe </t>
    </r>
  </si>
  <si>
    <t>OI3-Wert Max.</t>
  </si>
  <si>
    <t>55 Punkte</t>
  </si>
  <si>
    <t>OI3-Wert Min.</t>
  </si>
  <si>
    <t>von 155 auf 110</t>
  </si>
  <si>
    <t>GWP Total Max. CO2 equ. / m² BZF</t>
  </si>
  <si>
    <t>GWP Total Min. CO2 equ. / m² BZF</t>
  </si>
  <si>
    <t>EI10-Wert Max.</t>
  </si>
  <si>
    <t>EI10-Wert Min.</t>
  </si>
  <si>
    <t>Nichtwohngebäude</t>
  </si>
  <si>
    <t>Siegelvariante</t>
  </si>
  <si>
    <t>Wohngebäude</t>
  </si>
  <si>
    <t>Komplettmodernisierung</t>
  </si>
  <si>
    <t>Gebäudeart</t>
  </si>
  <si>
    <t>mind. MA</t>
  </si>
  <si>
    <t>QNG Plus</t>
  </si>
  <si>
    <t>QNG Premium</t>
  </si>
  <si>
    <t>Legende:</t>
  </si>
  <si>
    <t>Max. Punktezahl</t>
  </si>
  <si>
    <t>Mindestan-forderung</t>
  </si>
  <si>
    <t>Erreichte Punktezahl</t>
  </si>
  <si>
    <t>Ergebnisfeld</t>
  </si>
  <si>
    <t>Block Ökologie</t>
  </si>
  <si>
    <t>nicht zertifizierbar</t>
  </si>
  <si>
    <t>zertifizierbar</t>
  </si>
  <si>
    <t>Mindestanf. nicht erfüllt!</t>
  </si>
  <si>
    <t>Mindest-anforderung</t>
  </si>
  <si>
    <t>NR im LNB</t>
  </si>
  <si>
    <t>Anforderungen:
MA: Wassernutzungskonzept mit Wasserbedarfsermittlung
SW: Einbau Regenwasserzisterne WC ODER Bewässerung
ZW: Einbau Regenwasserzisterne WC UND Bewässerung</t>
  </si>
  <si>
    <t>Erreicht</t>
  </si>
  <si>
    <t>Anforderungswerte EI10 (BG1)</t>
  </si>
  <si>
    <t>Nicht erreicht</t>
  </si>
  <si>
    <t>14 - Nachhaltige Materialgewinnung</t>
  </si>
  <si>
    <t>NR; Gesamtvolumen eingesetztes Holz; Holzvolumen 100% nachh. FW; Holzvolumen 70% (FSC Mix)</t>
  </si>
  <si>
    <t>Gesamtvolumen eingesetztes Holz (m³)</t>
  </si>
  <si>
    <t>Holzvolumen 100% nachh. Forstwirtschaft (FSC/PEFC) (m³)</t>
  </si>
  <si>
    <t>NR: Gesamtmasse Beton nach geltenden Regeln d. technik als RC-Beton ausführbar, Gesamtmasse Erdbaustoffe&amp;Substrate; Masse RC-Beton mit erheblichem RC-Anteil nach DIN 12620; Masse Erdbaustoffe/Substrate aus güteüberwachtem RC-Material</t>
  </si>
  <si>
    <t>Gesamtmasse Beton nach geltenden Regeln d. technik als RC-Beton ausführbar (t)</t>
  </si>
  <si>
    <t>Gesamtmasse Erdbaustoffe&amp;Substrate (t)</t>
  </si>
  <si>
    <t>Masse RC-Beton mit erheblichem RC-Anteil nach DIN 12620 (t)</t>
  </si>
  <si>
    <t>Masse Erdbaustoffe/Substrate aus güteüberwachtem RC-Material (t)</t>
  </si>
  <si>
    <t>Nur Komplettsanierung</t>
  </si>
  <si>
    <t>Anforderungen:
MA: Sollwert
SW: Rückbaukonzept
ZW: zusätzl. Entsorgungsnachweise &amp; Dokumentation</t>
  </si>
  <si>
    <t>Nur Nichtwohngebäude</t>
  </si>
  <si>
    <t>Anforderungswerte Gründach (% d. Gründachpotenzials)</t>
  </si>
  <si>
    <t xml:space="preserve">NR: Dachflächen gesamt &lt;=10 Grad; </t>
  </si>
  <si>
    <t>Block Ökonomie</t>
  </si>
  <si>
    <t>02 - LCA – Primärenergie</t>
  </si>
  <si>
    <t>Anforderungen:
MA: Konzept f. Betrieb und Wartung d. techn. Anlagen
SW: zusätzl. Differenzierte Verbrauchserfassung
ZW: zusätzl. Kommentierung der Gebäudetechnik</t>
  </si>
  <si>
    <t>Anforderungswerte NUF / BGF</t>
  </si>
  <si>
    <t>NR: NUF nach DIN 277, BGF</t>
  </si>
  <si>
    <t>NUF nach DIN277 (m²)</t>
  </si>
  <si>
    <t>BGF (m²)</t>
  </si>
  <si>
    <t>Block Sozio-kulturelle Dimension</t>
  </si>
  <si>
    <t>Anforderungen:
MA: Sollwert
SW: vertragl. Verpflichtung von Qualitätsanforderungen
ZW: zusätzl. Führen von Produktdeklarationslisten</t>
  </si>
  <si>
    <t>Anforderungen:
MA: Einhaltung DIN 4108-2: 2013-02 Abschnitt 8
SW: Dyn. Gebäudesimulation für mind. 3 krit. Räume
ZW: Dyn. Gebäudesim. mit 20% Unterschreitung d. ÜTGS</t>
  </si>
  <si>
    <t>Anforderungen:
MA: Sollwert
SW: Fenster in Aufenthaltsräumen, Glasfläche 10% NGF
ZW: zusätzl. Tageslichtsimulation für 2 krit. &amp; 2 typ. Räume</t>
  </si>
  <si>
    <t>Nur Wohnbau</t>
  </si>
  <si>
    <t xml:space="preserve">Anforderungen:
MA: Sollwert
SW: Einhaltung DIN 4109-1:2018-01, Tabelle 2
ZW: Überschreitung Luftschall 3dB &amp; Unterschreitung Tritt-schallschutz um 5dB der DIN 4109-1:2018-01, Tabelle 2 </t>
  </si>
  <si>
    <t>Anforderungen:
MA &amp; SW: Zielwert
ZW: Analyse &amp; Bewertung der Gefährdung des Gebäudes</t>
  </si>
  <si>
    <t>Block Prozesskriterien</t>
  </si>
  <si>
    <t>Anforderungen:
MA: Zielwerte zu vorauss. HWB &amp; PEB 
SW: Zielwerte zu 10 Kenngrößen
ZW: Zielwerte zu allen Kenngrößen</t>
  </si>
  <si>
    <t>Anforderungen:
MA: Sollwert
SW: Erhebung Energieverbrauch im Bestand, Bestandsbauteile &amp; Schwachstellenanalyse
ZW: zusätzl. Erfassung Gebäudetechnik &amp; Schadstofferkundung</t>
  </si>
  <si>
    <t>Zertifizierungsfähigkeit: alle Mindestanf. erfüllt und mind. 750 Punkte erreicht</t>
  </si>
  <si>
    <t>Anforderungsniveau QNG PLUS</t>
  </si>
  <si>
    <t>Anforderungsniveau QNG PREMIUM</t>
  </si>
  <si>
    <t xml:space="preserve">Bodenbelag: </t>
  </si>
  <si>
    <t>Fläche (m²)</t>
  </si>
  <si>
    <t>Einstufung in Klasse</t>
  </si>
  <si>
    <t>Flüchtige organische Verbindungen (VOC)</t>
  </si>
  <si>
    <t>Ergebnis Messung (ppm)</t>
  </si>
  <si>
    <t>Flächengewichtete Mittel der Einzelmessungen</t>
  </si>
  <si>
    <t>Abfrage flächengewichtete Werte</t>
  </si>
  <si>
    <t>Endergebnis LNB_QNG</t>
  </si>
  <si>
    <t>Anzahl Messergebnisse VOC</t>
  </si>
  <si>
    <t>Anzahl Messergebnisse Formaldehyd</t>
  </si>
  <si>
    <t>Anzahl Messergebnisse übereinstimmend</t>
  </si>
  <si>
    <t>Zugänglichkeit und Reinigbarkeit von Innen- und Außenfenstern</t>
  </si>
  <si>
    <r>
      <t xml:space="preserve">Punkte GWP </t>
    </r>
    <r>
      <rPr>
        <sz val="12"/>
        <rFont val="Arial"/>
        <family val="2"/>
      </rPr>
      <t xml:space="preserve">(max. 55 Punkte) </t>
    </r>
  </si>
  <si>
    <t>Dynamische Gebäudesimulation (zumindest für 3 kritische Räume) bei Einhaltung der maximal zulässigen Übertemperaturgradstunden *</t>
  </si>
  <si>
    <t>Dynamische Gebäudesimulation (zumindest für 3 kritische Räume) bei Unterschreitung der maximal zulässigen Übertemperaturgradstunden um 20 % *</t>
  </si>
  <si>
    <t>* Nähere Ausführungen zu den maximal zulässigen Übertemperaturgradstunden in den Erläuterungen zum LNB 
  Die Bezugstemperatur beträgt je nach Region zwischen 25 und 27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</si>
  <si>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r>
      <t xml:space="preserve">Punkte OI3 + GWP + EI10 </t>
    </r>
    <r>
      <rPr>
        <sz val="12"/>
        <rFont val="Arial"/>
        <family val="2"/>
      </rPr>
      <t>(max. 205 Punkte)</t>
    </r>
  </si>
  <si>
    <t>erfüllt</t>
  </si>
  <si>
    <t>nicht erfüllt</t>
  </si>
  <si>
    <t>Projektbezeichnung</t>
  </si>
  <si>
    <r>
      <t xml:space="preserve">Punkte EI10 </t>
    </r>
    <r>
      <rPr>
        <sz val="12"/>
        <rFont val="Arial"/>
        <family val="2"/>
      </rPr>
      <t>(max. 55 Punkte)</t>
    </r>
  </si>
  <si>
    <t>Bei Erreichbarkeit maximal 3 m über dem Fußboden oder einem Reinigungsgang
für mind. jeweils 70% der Innen- und Außenglasflächen</t>
  </si>
  <si>
    <t>Bei Erreichbarkeit über 3 m über dem Fußboden oder einem Reinigungsgang und 
mit Reinigungsstange reinigbar für mind. jeweils 70% der Innen- und Außenglasflächen</t>
  </si>
  <si>
    <t>Kriterium 3</t>
  </si>
  <si>
    <t>Kriterium 7</t>
  </si>
  <si>
    <t>Anforderungswerte:
MA: VOC und Formaldehyd flächengewichtet in Klasse IV oder besser
SW: VOC und Formaldehyd flächengewichtet in Klasse II oder besser (kein Einzelwert schlechter als Klasse III)
ZW: VOC und Formaldehyd flächengewichtet in Klasse I (kein Einzelwert schlechter als Klasse III)</t>
  </si>
  <si>
    <t>Anforderungen Nichtwohngebäude:
MA: lichte Raumhöhe 3,00 m (bzw. 2,80 m bei mech. LA)
SW: zusätzl. Teilbarkeit in Einheiten &lt; 400 m²
ZW: zusätzl. Nutzlastreserven</t>
  </si>
  <si>
    <r>
      <t xml:space="preserve">Anforderungen Wohngebäude:
MA: lichte Raumhöhe 2,40 m
SW: lichte Raumhöhe 2,50 m
ZW (zusätzl. zur Anf. SW): Wohnräume </t>
    </r>
    <r>
      <rPr>
        <sz val="12"/>
        <rFont val="Aptos Narrow"/>
        <family val="2"/>
      </rPr>
      <t>≥</t>
    </r>
    <r>
      <rPr>
        <sz val="12"/>
        <rFont val="Arial"/>
        <family val="2"/>
      </rPr>
      <t xml:space="preserve"> 12 m² mit ≥ 3 m lichte Breite AW</t>
    </r>
  </si>
  <si>
    <t>Anforderungen Nichtwohngebäude
MA: Sollwert
SW: 10% d. Arbeitsstätten barrierefrei
ZW: 25% d. Arbeitsstätten barrierefrei</t>
  </si>
  <si>
    <t>Anforderungen Wohngebäude:
MA: Sollwert
SW: für 80% der Wohneinheiten 7 von 8 Anf. "ready besuchsgeeignet" erfüllt
ZW: für alle Wohneinheiten 7 von 8 Anf. "ready plus" erfüllt</t>
  </si>
  <si>
    <t>Kriterium 13</t>
  </si>
  <si>
    <t>Kriterium 17</t>
  </si>
  <si>
    <t>Kriterium 18</t>
  </si>
  <si>
    <t>Kriterium 19</t>
  </si>
  <si>
    <t>Kriterium 20</t>
  </si>
  <si>
    <t>Erreichte Punkte Fahrradabstellplätze (max. 20 Punkte)</t>
  </si>
  <si>
    <t>Gesamtpunkte Fahrradstellplätze und Elektromobilität (max. 30 Punkte)</t>
  </si>
  <si>
    <r>
      <t>Nutzenergiebedarf Kühlung Q</t>
    </r>
    <r>
      <rPr>
        <vertAlign val="subscript"/>
        <sz val="10"/>
        <color theme="1"/>
        <rFont val="Arial"/>
        <family val="2"/>
      </rPr>
      <t>c,b</t>
    </r>
  </si>
  <si>
    <t>Nutzenergiebedarf Heizung</t>
  </si>
  <si>
    <t>Nutzenergiebedarf Kühlung</t>
  </si>
  <si>
    <t>Nutzenergiebedarf Kühlung Qc,b</t>
  </si>
  <si>
    <t>Nutzenergiebedarf Heizung Qh,b</t>
  </si>
  <si>
    <t>Anforderungswerte Holz aus nachhaltiger Forstwirtschaft (%)</t>
  </si>
  <si>
    <t>Anforderungswerte Recyclinganteil mineralische Baustoffe (%)</t>
  </si>
  <si>
    <t>Rote Schrift</t>
  </si>
  <si>
    <t>Schwarze Schrift</t>
  </si>
  <si>
    <t>02 - LCA – CO2-Äquivalente</t>
  </si>
  <si>
    <t>Legende</t>
  </si>
  <si>
    <t>Nebenrechnung zur Dimensionierung der Zisterne:</t>
  </si>
  <si>
    <t>fakultative Eingabefelder für LNB Expert:innen und Konformitätsbewertungsstellen</t>
  </si>
  <si>
    <t>Eingabefelder für LNB Expert:innen und Konformitätsbewertungsstellen</t>
  </si>
  <si>
    <t>Anmerkungen Konformitätsbewertungsstellen</t>
  </si>
  <si>
    <t>Anmerkungen LNB Expert:in</t>
  </si>
  <si>
    <t>Ergebnis CO2-Äquivalente (CO2 equ. / m² BZF)</t>
  </si>
  <si>
    <t>0…nicht vorhanden/erfüllt
1…geringer Erfüllungsgrad
5…sehr hoher Erfüllungsgrad</t>
  </si>
  <si>
    <t>Kommentare / Maßnahmen</t>
  </si>
  <si>
    <t>Wärmeschutz Winter</t>
  </si>
  <si>
    <t>Wärmegewinne und Berücksichtigung der Nutzbarkeit</t>
  </si>
  <si>
    <t>Kompaktheit</t>
  </si>
  <si>
    <t>Wärmeschutz Sommer</t>
  </si>
  <si>
    <t>Fensterflächenanteil und -zuordnung</t>
  </si>
  <si>
    <t>Sonnenschutzmaßnahme</t>
  </si>
  <si>
    <t>verfügbare Speichermasse</t>
  </si>
  <si>
    <t>freie Nachtkühlung</t>
  </si>
  <si>
    <t>außeninduzierter Kühlbedarf</t>
  </si>
  <si>
    <t>Energieeffizienz Haustechnik</t>
  </si>
  <si>
    <t>Lüftungsanlage WRG</t>
  </si>
  <si>
    <t>Lüftungsanlage Regelung und Dimensionierung</t>
  </si>
  <si>
    <t>Druckverlustminimierung</t>
  </si>
  <si>
    <t>Wärmebereitstellung Heizung</t>
  </si>
  <si>
    <t>Nutzung erneurbarer Energien für Heizung</t>
  </si>
  <si>
    <t>Wärmeverteilung Heizung</t>
  </si>
  <si>
    <t>Wärmeabgabe Heizung/Regelung</t>
  </si>
  <si>
    <t>Wärmebereitstellung Warmwasser</t>
  </si>
  <si>
    <t>Wärmeverteilung, Puffer Warmwasser</t>
  </si>
  <si>
    <t>Nutzung erneurbarer Energien Warmwasser</t>
  </si>
  <si>
    <t>Wärmeabgabe Warmwasser</t>
  </si>
  <si>
    <t>Keine technische Kühlung (aktive und passive Systeme)</t>
  </si>
  <si>
    <t>Nutzung erneurbarer Energien für Kühlung</t>
  </si>
  <si>
    <t>Nutzerorientiertes Monitoring ; Nutzerschulung</t>
  </si>
  <si>
    <t>Licht und Beleuchtung</t>
  </si>
  <si>
    <t>Hilfsstrom Haustechnik</t>
  </si>
  <si>
    <t>Energieeffizienz Lift</t>
  </si>
  <si>
    <t>Endenergiebedarf</t>
  </si>
  <si>
    <t>Qualität der Ausführung</t>
  </si>
  <si>
    <t>Luftdichtheit</t>
  </si>
  <si>
    <t>Überpunktung (105% in Spalte C) möglich</t>
  </si>
  <si>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Plus</t>
    </r>
  </si>
  <si>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Premium</t>
    </r>
  </si>
  <si>
    <t>Anforderungswerte Primärenergie (kWh / m²a) QNG Plus</t>
  </si>
  <si>
    <t>Ergebnis Primärenergie (kWh / m²a)</t>
  </si>
  <si>
    <t>Anforderungswerte Primärenergie (kWh / m²a) QNG Premium</t>
  </si>
  <si>
    <r>
      <t xml:space="preserve">Holzvolumen </t>
    </r>
    <r>
      <rPr>
        <b/>
        <sz val="12"/>
        <rFont val="Arial"/>
        <family val="2"/>
      </rPr>
      <t>nicht</t>
    </r>
    <r>
      <rPr>
        <sz val="12"/>
        <rFont val="Arial"/>
        <family val="2"/>
      </rPr>
      <t xml:space="preserve"> aus 100% nachh. Forstwirtschaft, z.B. Label "FSC Mix" (m³)</t>
    </r>
  </si>
  <si>
    <t>N/A</t>
  </si>
  <si>
    <r>
      <rPr>
        <b/>
        <sz val="10"/>
        <color theme="1"/>
        <rFont val="Arial"/>
        <family val="2"/>
      </rPr>
      <t>Abkürzungen</t>
    </r>
    <r>
      <rPr>
        <sz val="10"/>
        <color theme="1"/>
        <rFont val="Arial"/>
        <family val="2"/>
      </rPr>
      <t xml:space="preserve">
MA: Mindestanforderung
SW: Sollwert
ZW: Zielwert
m³: Kubikmeter
t: Tonnen
N/A: nicht anwendbar</t>
    </r>
  </si>
  <si>
    <t>Prozentanteile Holzvolumen aus nachhaltiger Forstwirtschaft bei Holz aus nicht 100% nachhaltiger Forstwirtschaft, z.B. 70% bei "FSC Mix"</t>
  </si>
  <si>
    <t>Volumen realisierte Zisterne (l)</t>
  </si>
  <si>
    <t>Wassernutzungskonzept vorhanden</t>
  </si>
  <si>
    <t>Ja</t>
  </si>
  <si>
    <t>Nein</t>
  </si>
  <si>
    <t>2.</t>
  </si>
  <si>
    <t>3.</t>
  </si>
  <si>
    <t>4.</t>
  </si>
  <si>
    <t>5.</t>
  </si>
  <si>
    <t>MINDEST-ANFORDERUNG</t>
  </si>
  <si>
    <t>Anforderungswerte Anzahl Berechnungen Lebenszykluskosten</t>
  </si>
  <si>
    <t>Anschluss Außenanlagenbewässerung</t>
  </si>
  <si>
    <t>Anschluss von mind. 80% der WC- und Urinalspülungen</t>
  </si>
  <si>
    <t>Wassermenge zu bewässernde Außenanlagen (l)</t>
  </si>
  <si>
    <t>Fläche der zu bewässernden Außenanlagen (m²)</t>
  </si>
  <si>
    <t>Wassermenge WC- und Urinalspülungen (l)</t>
  </si>
  <si>
    <t>Wassermenge nach angeschlossener Dachfläche (l)</t>
  </si>
  <si>
    <t>Rechenfelder/Verlinkte Felder</t>
  </si>
  <si>
    <t>Summe Dachfläche(n) begrünt 
(Dachneigung ≤10°)</t>
  </si>
  <si>
    <t>Anteil Gründach an Gesamtdachfläche</t>
  </si>
  <si>
    <t>Eingabefelder/Hinweisfelder bei Kriterien, die die Mindestanforderung nicht erfüllen</t>
  </si>
  <si>
    <r>
      <rPr>
        <b/>
        <sz val="10"/>
        <color theme="1"/>
        <rFont val="Arial"/>
        <family val="2"/>
      </rPr>
      <t>Punktevergabe LNB_QNG</t>
    </r>
    <r>
      <rPr>
        <sz val="10"/>
        <color theme="1"/>
        <rFont val="Arial"/>
        <family val="2"/>
      </rPr>
      <t xml:space="preserve">
Diese Excel Tabelle ist ein Hilfsmittel für die Ermittlung der Punktevergabe für die Kriterien des LNB QNG. </t>
    </r>
    <r>
      <rPr>
        <b/>
        <sz val="10"/>
        <color theme="1"/>
        <rFont val="Arial"/>
        <family val="2"/>
      </rPr>
      <t xml:space="preserve">Die Prüfvorschriften mit Angabe der Relevanz, Zielsetzung, Kurzbeschreibung, Messvorschriften, Bewertungsmaßstäbe und Nachweisführung sind für jedes Kriterium eindeutig formuliert und dem LNB_QNG Kriterienkatalog zu entnehmen. </t>
    </r>
    <r>
      <rPr>
        <sz val="10"/>
        <color theme="1"/>
        <rFont val="Arial"/>
        <family val="2"/>
      </rPr>
      <t xml:space="preserve">Die Mindestanforderungen sind bei jedem Kriterium verpflichtend einzuhalten, werden jedoch nicht bepunktet. Bei Einhaltung der Anforderungen des Sollwerts pro Kriterium werden die Hälfte der Punkte für das jeweilige Kriterium vergeben. Bei Einhaltung der Anforderungen des Zielwerts pro Kriterium wird die volle Punktezahl für das jeweilige Kriterium vergeben. Ein LNB_QNG-Zertifikat wird vergeben, wenn mindestens 750 Punkte (ggf. bei mehreren Gebäudeabschnitten/Gebäudekörpern das nach BRI gewichtete Mittel) erreicht werden. Um ein LNB_QNG-Zertifikat ausstellen zu können, müssen die Mindestanforderungen zu allen Kriterien eingehalten werden. Es sind die erreichten Anforderungsniveaus oder ermittelte Werte einzugeben. </t>
    </r>
    <r>
      <rPr>
        <b/>
        <sz val="10"/>
        <color theme="1"/>
        <rFont val="Arial"/>
        <family val="2"/>
      </rPr>
      <t>Die Anforderungen der LNB_QNG Kriterien sind in der jeweiligen Überschrift zu den LNB_QNG Erläuterungen verlinkt.</t>
    </r>
    <r>
      <rPr>
        <sz val="10"/>
        <color theme="1"/>
        <rFont val="Arial"/>
        <family val="2"/>
      </rPr>
      <t xml:space="preserve"> Nachweise für die jeweiligen Kriterien sind separat zu führen und an die Konformitätsbewertungsstellen zeitgerecht zu übermitteln. Falls Ergebnisse zu bestimmten Kriterien nicht direkt im Ergebnisfeld des jeweiligen Kriteriums einzugeben sind, bitte den zusätzlichen Reiter Nebenrechnungen beachten.
Die Zertifizierungsentscheidung und die Ausstellung des LNB_QNG Zertifikats erfolgt durch eine akkreditierte LNB_QNG-Konformitätsbewertungsstelle gemäß dem LNB_QNG Zertifizierungsprogramm.</t>
    </r>
  </si>
  <si>
    <t>Kontrolle</t>
  </si>
  <si>
    <t>Naturnahes Bauen und Klimafolgenanpassung</t>
  </si>
  <si>
    <t>Netzdienliche Stromspeicherung</t>
  </si>
  <si>
    <t>Festlegung von Nachhaltigkeitsstandards in Planungsvergaben</t>
  </si>
  <si>
    <t>Ab 3,0 kWh-Speicher-Nennkapazität pro installierter kWp</t>
  </si>
  <si>
    <t>1,0 - 3,0 kWh-Speicher-Nennkapazität pro installierter kWp</t>
  </si>
  <si>
    <t>Max. 175</t>
  </si>
  <si>
    <t>Einsatz von Recyclingbeton</t>
  </si>
  <si>
    <t>Punkte (gesamt max. 30)</t>
  </si>
  <si>
    <t>max. 70</t>
  </si>
  <si>
    <r>
      <t xml:space="preserve">Ökobaukriterien </t>
    </r>
    <r>
      <rPr>
        <b/>
        <u/>
        <sz val="10"/>
        <rFont val="Arial"/>
        <family val="2"/>
      </rPr>
      <t>mit</t>
    </r>
    <r>
      <rPr>
        <b/>
        <sz val="10"/>
        <rFont val="Arial"/>
        <family val="2"/>
      </rPr>
      <t xml:space="preserve"> PD</t>
    </r>
  </si>
  <si>
    <t>Punkte (gesamt max. 90)</t>
  </si>
  <si>
    <t>Naturnahe Dachbegrünung</t>
  </si>
  <si>
    <t>Substrat aus lokalen Materialien mind. 10 Vol%</t>
  </si>
  <si>
    <t>Sonderstrukturen auf 3 % der Begrünungsflächen</t>
  </si>
  <si>
    <t>Bepunktung nach untenstehenden Werten</t>
  </si>
  <si>
    <t>Grün und Freiflächenfaktor (GFF)</t>
  </si>
  <si>
    <t>Das Ausmaß von Begrünungen wird mit dem sogenannten Grün- und Freiflächenfaktor (GFF) gewichtet, 
der Grünflächen und Begrünungen den versiegelten Flächen eines Bauprojekts gegenüberstellt.</t>
  </si>
  <si>
    <t>GFF = 0,5</t>
  </si>
  <si>
    <t>GFF = 0,6</t>
  </si>
  <si>
    <t>GFF = 0,7</t>
  </si>
  <si>
    <t>GFF = 0,8</t>
  </si>
  <si>
    <t>Differenzierte Verbrauchserfassung</t>
  </si>
  <si>
    <t>Maßnahme zur Sicherstellung komfortabler Raumfeuchte</t>
  </si>
  <si>
    <t xml:space="preserve">Vereinfachte Berechnung Wirtschaftlichkeit </t>
  </si>
  <si>
    <t>6.</t>
  </si>
  <si>
    <t>7.</t>
  </si>
  <si>
    <t>8.</t>
  </si>
  <si>
    <r>
      <t xml:space="preserve">QNG </t>
    </r>
    <r>
      <rPr>
        <b/>
        <u/>
        <sz val="10"/>
        <rFont val="Arial"/>
        <family val="2"/>
      </rPr>
      <t>mit</t>
    </r>
    <r>
      <rPr>
        <b/>
        <sz val="10"/>
        <rFont val="Arial"/>
        <family val="2"/>
      </rPr>
      <t xml:space="preserve"> PD</t>
    </r>
  </si>
  <si>
    <r>
      <t xml:space="preserve">QNG </t>
    </r>
    <r>
      <rPr>
        <b/>
        <u/>
        <sz val="10"/>
        <rFont val="Arial"/>
        <family val="2"/>
      </rPr>
      <t>ohne</t>
    </r>
    <r>
      <rPr>
        <b/>
        <sz val="10"/>
        <rFont val="Arial"/>
        <family val="2"/>
      </rPr>
      <t xml:space="preserve"> PD</t>
    </r>
  </si>
  <si>
    <t>Vermeidung von PVC und halogenhaltige Kunststoffe</t>
  </si>
  <si>
    <t>Durchgängiger Einsatz von Kältemitteln mit GWP ≤ 150 in allen Wärmepumpen (nur bei Wärmepumpen als Hauptenergieträger für Heizung/Kühlung; keine Punkte bei reinen Kompressorkältemaschinen)</t>
  </si>
  <si>
    <t>Vermeidung biozider Ausrüstung</t>
  </si>
  <si>
    <r>
      <t xml:space="preserve">Fenster und Außentüren </t>
    </r>
    <r>
      <rPr>
        <sz val="10"/>
        <color rgb="FF000000"/>
        <rFont val="Arial"/>
        <family val="2"/>
      </rPr>
      <t>(ohne Dicht- und Klebstoffe)</t>
    </r>
  </si>
  <si>
    <t>Vermeidung von Bodenbeschichtungen auf Polyurethan- und Epoxidharz-Basis</t>
  </si>
  <si>
    <r>
      <rPr>
        <b/>
        <sz val="10"/>
        <color rgb="FF000000"/>
        <rFont val="Arial"/>
        <family val="2"/>
      </rPr>
      <t>Durchgängiger Verzicht</t>
    </r>
    <r>
      <rPr>
        <sz val="10"/>
        <color indexed="8"/>
        <rFont val="Arial"/>
        <family val="2"/>
      </rPr>
      <t xml:space="preserve"> auf PU-/Epoxidharzbeschichtungen im gesamten Gebäude</t>
    </r>
  </si>
  <si>
    <t xml:space="preserve">Mit HVH Nachweis </t>
  </si>
  <si>
    <r>
      <t xml:space="preserve">Fassaden </t>
    </r>
    <r>
      <rPr>
        <sz val="10"/>
        <rFont val="Arial"/>
        <family val="2"/>
      </rPr>
      <t>(&gt; 50% der Fassadenfläche)</t>
    </r>
  </si>
  <si>
    <r>
      <rPr>
        <b/>
        <sz val="10"/>
        <rFont val="Arial"/>
        <family val="2"/>
      </rPr>
      <t xml:space="preserve">Fußbodenbelag Massivholz - </t>
    </r>
    <r>
      <rPr>
        <sz val="10"/>
        <rFont val="Arial"/>
        <family val="2"/>
      </rPr>
      <t>Massivparkett, Dielenboden, Mehrschichtparkett mit mind. 6mm Nutzschichtstärke; &gt; 50% der konditionierten Flächen als Vollholzkonstruktion</t>
    </r>
  </si>
  <si>
    <t>Mindestens 30% des Betonvolumens aller Expositionsklassen werden als RC-Beton ausgeführt; bei diesem Betonvolumen ist der Betonzuschlag mit einem Anteil von mindestens 25 M-% der Gesteinskörnungen aus Recyclingmaterial auszuführen</t>
  </si>
  <si>
    <t xml:space="preserve">Ökologische Bauteiloptimierung </t>
  </si>
  <si>
    <t>Verankerung ökologischer Kriterien in Ausschreibung und Bauausführung</t>
  </si>
  <si>
    <t>Einsatz bereits verwendeter Bauprodukte und Bauteile als tragende Elemente</t>
  </si>
  <si>
    <t>Einsatz bereits verwendeter Bauprodukte und Bauteile als nicht tragende Elemente</t>
  </si>
  <si>
    <t>Punkte (gesamt max. 73)</t>
  </si>
  <si>
    <t>Fachberatung für naturnahe und naturverträgliche Gebäude- und Außengestaltung durch eine nicht mit der Freiraumplanung beauftragte Person</t>
  </si>
  <si>
    <t>Pflanzung oder Erhalt von mind. 2 heimischen (mind. 50 % der gesetzten Bäume) bzw. europäischen (max. 50 % der gesetzten Bäume) Bäumen. Keine invasiven Neophyten und keine außereuropäische Art.</t>
  </si>
  <si>
    <t>Gehölzinsel oder Wildhecke mit natürlichem Unterwuchs (&gt; 3 m breit, &gt; 5 m lang)</t>
  </si>
  <si>
    <t>Schaffung oder den Erhalt von heimischen Sträuchern in ihrer Wildform ≥ 3 verschiedenen Sträuchern</t>
  </si>
  <si>
    <t>Artenreiche Wiese, mehrjährige Blühfläche ≥ 25 % der Außenfläche, Einzelfläche ≥ 10 m²</t>
  </si>
  <si>
    <t>Artenreiche Wiese, mehrjährige Blühfläche ≥ 10 % der Außenfläche, Einzelfläche ≥ 10 m²</t>
  </si>
  <si>
    <t>Umsetzung mindestens eines der Elemente: Trockensteinmauer (Länge &gt; 3 m, Höhe &gt; 40 cm), Natursteinhaufen (mind. 1 m³) oder Totholzbereich (&gt; 3 m² Grundfläche)</t>
  </si>
  <si>
    <t>Anlage von Sickerbecken, Mulden oder Gerinnen zur temporären Wasserrückhaltung, naturnah gestaltet mit regionalen Hochstaudenfluren</t>
  </si>
  <si>
    <t>Installation von Nisthilfen direkt an Haupt- oder Nebengebäuden für heimische Vogel- oder Fledermausarten</t>
  </si>
  <si>
    <t>Voll abgeschirmte, warmweiße LED-Leuchten (&lt;3000 K) auf definierten Nutzflächen im Außenbereich; Einsatz nur auf Nutzflächen</t>
  </si>
  <si>
    <t>Darstellung und Berücksichtigung der Niederschlagswasser-Fließwege auf dem Grundstück zur effektiven Ableitung von Starkregenereignissen</t>
  </si>
  <si>
    <t>Realisierung einer hellen Fassade</t>
  </si>
  <si>
    <t>Erstellung eines Konzepts für Betrieb und Wartung der technischen Anlagen mit Regel- und Messvorgaben, festgelegten Wartungszyklen und Nachweis der Schulung aller relevanten Personen</t>
  </si>
  <si>
    <r>
      <t>Nachweis</t>
    </r>
    <r>
      <rPr>
        <sz val="10"/>
        <color theme="1"/>
        <rFont val="Arial"/>
        <family val="2"/>
      </rPr>
      <t>: Beschreibung Art und Weise bzw. Flächenaufstellung für Glasflächen oder in Pläne ersichtlich</t>
    </r>
  </si>
  <si>
    <r>
      <t>Nachweis</t>
    </r>
    <r>
      <rPr>
        <sz val="10"/>
        <color theme="1"/>
        <rFont val="Arial"/>
        <family val="2"/>
      </rPr>
      <t>: Planvorlage oder bei Begehung Vor-Ort ersichtlich</t>
    </r>
  </si>
  <si>
    <r>
      <t>Nachweis</t>
    </r>
    <r>
      <rPr>
        <sz val="10"/>
        <color theme="1"/>
        <rFont val="Arial"/>
        <family val="2"/>
      </rPr>
      <t>: Beschreibung, Planvorlage oder bei Begehung Vor-Ort ersichtlich.</t>
    </r>
  </si>
  <si>
    <t>Schutz der Wandbereiche durch Sockelleisten, austauschbare Wandvertäfelungen oder wischbare Wandfarbe, um Verschmutzung und Beschädigung bei der Reinigung zu vermeiden</t>
  </si>
  <si>
    <t>Primärenergiekennwert</t>
  </si>
  <si>
    <t>Nachweis durch dynamische Gebäudesimulation</t>
  </si>
  <si>
    <t>Ausführung eines kontrollierten Free-Coolings</t>
  </si>
  <si>
    <r>
      <t xml:space="preserve">Punkte OI3 </t>
    </r>
    <r>
      <rPr>
        <sz val="12"/>
        <rFont val="Arial"/>
        <family val="2"/>
      </rPr>
      <t>(max. 120 Punkte)</t>
    </r>
  </si>
  <si>
    <t>120 Punkte</t>
  </si>
  <si>
    <r>
      <t>Summe</t>
    </r>
    <r>
      <rPr>
        <sz val="12"/>
        <rFont val="Arial"/>
        <family val="2"/>
      </rPr>
      <t xml:space="preserve"> (max. 175 Punkte)</t>
    </r>
  </si>
  <si>
    <r>
      <t xml:space="preserve">LNB - Leitfaden Nachhaltig Bauen 
Bewertung öffentlicher Gebäude
</t>
    </r>
    <r>
      <rPr>
        <b/>
        <sz val="11"/>
        <color indexed="64"/>
        <rFont val="Arial"/>
        <family val="2"/>
      </rPr>
      <t xml:space="preserve">Version 2026 - 1
</t>
    </r>
  </si>
  <si>
    <r>
      <t xml:space="preserve">Leitfaden Nachhaltig Bauen für das Qualitätssiegel Nachhaltige Gebäude - LNB_QNG
</t>
    </r>
    <r>
      <rPr>
        <b/>
        <sz val="11"/>
        <color indexed="64"/>
        <rFont val="Arial"/>
        <family val="2"/>
      </rPr>
      <t xml:space="preserve">Version 2026-1
</t>
    </r>
  </si>
  <si>
    <t>Bewertung durch Expertengremium</t>
  </si>
  <si>
    <t>Ökologische Gebäudebilanzierung</t>
  </si>
  <si>
    <t>GFF = 0,4</t>
  </si>
  <si>
    <t>LNB_QNG Kriterium mit besonderen QNG-Anforderungen</t>
  </si>
  <si>
    <t>LNB_QNG Kriterium ohne besondere QNG-Anforderungen</t>
  </si>
  <si>
    <t>Grundsätzliche Angaben</t>
  </si>
  <si>
    <t>Elementform</t>
  </si>
  <si>
    <t>Flächenfaktor</t>
  </si>
  <si>
    <t>Erschließungsflächen, Plätze und versiegelte Flächen</t>
  </si>
  <si>
    <t>Freiflächen mit Vegetation</t>
  </si>
  <si>
    <t>Über natürlich gewachsenem Boden</t>
  </si>
  <si>
    <t>Auf unterbauten Flächen &gt; 150 cm Schüttungshöhe</t>
  </si>
  <si>
    <t>Auf unterbauten Flächen &lt; 150 cm Schüttungshöhe</t>
  </si>
  <si>
    <t>Wasserflächen</t>
  </si>
  <si>
    <t>Künstliches Becken/technisches Wasser</t>
  </si>
  <si>
    <t>Naturnaher Teich/Wasserfläche</t>
  </si>
  <si>
    <t>Fassadenbegrünung</t>
  </si>
  <si>
    <t>Bodengebundene Fassadenbegrünung</t>
  </si>
  <si>
    <t>Troggebundene Fassadenbegrünung</t>
  </si>
  <si>
    <t>Dachflächen und Dachbegrünung</t>
  </si>
  <si>
    <t xml:space="preserve">Extensivbegrünung, im Durchschnitt 10-14 cm Vegetationstragschicht oder PV-Grün Kombination mit 8 cm Vegetationstragschicht 
(ÖNORM L1131 / ÖNORM L1131 Beiblatt Solargründächer / FLL Dachbegrünungsrichtlinien) </t>
  </si>
  <si>
    <t>Bonuselemente</t>
  </si>
  <si>
    <t>Begrünte Pergolen</t>
  </si>
  <si>
    <t>Freistehende grüne Wände</t>
  </si>
  <si>
    <t>Verholzende Vegetation</t>
  </si>
  <si>
    <t>Anzahl Bäume</t>
  </si>
  <si>
    <t>Ergebnis Naturhaushaltswirksame Fläche</t>
  </si>
  <si>
    <t>NHW</t>
  </si>
  <si>
    <t>Ergebnis Grün und Freiflähenindikator (NHW/Grundstücksfläche)</t>
  </si>
  <si>
    <t>GFF</t>
  </si>
  <si>
    <r>
      <t>Fläche (m</t>
    </r>
    <r>
      <rPr>
        <b/>
        <vertAlign val="superscript"/>
        <sz val="11"/>
        <color theme="1"/>
        <rFont val="Arial"/>
        <family val="2"/>
      </rPr>
      <t>2</t>
    </r>
    <r>
      <rPr>
        <b/>
        <sz val="11"/>
        <color theme="1"/>
        <rFont val="Arial"/>
        <family val="2"/>
      </rPr>
      <t>)</t>
    </r>
  </si>
  <si>
    <r>
      <t xml:space="preserve">Baum groß (~ 15 m Kronendurchmesser Zielwert), je Baum: </t>
    </r>
    <r>
      <rPr>
        <b/>
        <sz val="11"/>
        <color theme="1"/>
        <rFont val="Arial"/>
        <family val="2"/>
      </rPr>
      <t>75 m²</t>
    </r>
  </si>
  <si>
    <r>
      <t xml:space="preserve">Baum mittel (~ 10 m Kronendurchmesser Zielwert), je Baum: </t>
    </r>
    <r>
      <rPr>
        <b/>
        <sz val="11"/>
        <color theme="1"/>
        <rFont val="Arial"/>
        <family val="2"/>
      </rPr>
      <t>20 m²</t>
    </r>
  </si>
  <si>
    <r>
      <t xml:space="preserve">Baum klein (~ 5 m Kronendurchmesser Zielwert), je Baum: </t>
    </r>
    <r>
      <rPr>
        <b/>
        <sz val="11"/>
        <color theme="1"/>
        <rFont val="Arial"/>
        <family val="2"/>
      </rPr>
      <t>5 m²</t>
    </r>
  </si>
  <si>
    <t>Kombination der Dachbegrünung mit einer PV-Anlage</t>
  </si>
  <si>
    <t>Nachhaltigkeitsanforderungen in Planung, Prozess und Umsetzung</t>
  </si>
  <si>
    <t>Produktmanagement</t>
  </si>
  <si>
    <t>Energieverbrauch im Betrieb</t>
  </si>
  <si>
    <t>Nachweis in Anlehnung an PHPP</t>
  </si>
  <si>
    <t>Energiekennwert Nutzkältebedarf</t>
  </si>
  <si>
    <t>Thermischer Komfort und Raumluftqualität</t>
  </si>
  <si>
    <t>Entsorgungsindikator (EI10) des Gebäudes</t>
  </si>
  <si>
    <t>Einsatz bereits verwendeter Bauteile und Bauprodukte</t>
  </si>
  <si>
    <t>Sockelleisten/ wischbarer Sockelbereich</t>
  </si>
  <si>
    <t>Nachweis in Anlehnung an GEG</t>
  </si>
  <si>
    <t>Extensivbegrünung, im Durchschnitt 15-24 cm Vegetationstragschicht (ÖNORM L1131 / FLL Dachbegrünungsrichtlinien)</t>
  </si>
  <si>
    <t>Intensivbegrünung &gt;25 cm Vegetationstragschicht 
(ÖNORM L1131 / FLL Dachbegrünungsrichtlinien)</t>
  </si>
  <si>
    <t>max. 45</t>
  </si>
  <si>
    <t>Einrichtung von Schmutzfangzonen vor oder hinter allen Haupt- und Nebeneingängen (z. B. bodenbündige Gitterroste, Kunststoff- oder Naturfasermatten) zur Reduzierung von Schmutzeintrag und -verteilung</t>
  </si>
  <si>
    <r>
      <rPr>
        <b/>
        <sz val="10"/>
        <rFont val="Arial"/>
        <family val="2"/>
      </rPr>
      <t xml:space="preserve">Konstruktiver Holzbau - </t>
    </r>
    <r>
      <rPr>
        <sz val="10"/>
        <rFont val="Arial"/>
        <family val="2"/>
      </rPr>
      <t>Bepunktung nur bei Holz- oder Mischbauten (50 Vol.-% der konstruktiven Bauteile aus Holz)</t>
    </r>
  </si>
  <si>
    <t>Anforderungswerte unversiegelte Außenanlagefläche (%)</t>
  </si>
  <si>
    <t>Außenanlagefläche gesamt</t>
  </si>
  <si>
    <t>Außenanlagefläche teilversiegelt</t>
  </si>
  <si>
    <t>Außenanlagefläche versiegelt</t>
  </si>
  <si>
    <t>Außenanlagefläche nicht versiegelt</t>
  </si>
  <si>
    <t>Anteil unversiegelte Außenanlagefläche</t>
  </si>
  <si>
    <t>Naturnahe Außenanlageflächen</t>
  </si>
  <si>
    <t>Fassadengebundene modulare bzw. vollflächige Vegetationsträger</t>
  </si>
  <si>
    <t>Regionale Holzwirtschaft</t>
  </si>
  <si>
    <r>
      <t xml:space="preserve">Dokumentation des Datenerfassungssystems für die zu berücksichtigenden Energieanwendungen wie oben beschrieben. Ausgefülltes Formblatt für die differenzierte Verbrauchserfassung - </t>
    </r>
    <r>
      <rPr>
        <i/>
        <sz val="10"/>
        <color rgb="FFFF0000"/>
        <rFont val="Arial"/>
        <family val="2"/>
      </rPr>
      <t>MUSSKRITERIUM</t>
    </r>
  </si>
  <si>
    <t xml:space="preserve">Energiekennwert Heizwärmebedarf </t>
  </si>
  <si>
    <r>
      <t>Energiekennwert Nutzkältebedarf Q</t>
    </r>
    <r>
      <rPr>
        <vertAlign val="subscript"/>
        <sz val="10"/>
        <color theme="1"/>
        <rFont val="Arial"/>
        <family val="2"/>
      </rPr>
      <t xml:space="preserve">K </t>
    </r>
  </si>
  <si>
    <r>
      <t>Energiekennwert Heizwärmbedarf Q</t>
    </r>
    <r>
      <rPr>
        <vertAlign val="subscript"/>
        <sz val="10"/>
        <color theme="1"/>
        <rFont val="Arial"/>
        <family val="2"/>
      </rPr>
      <t>H</t>
    </r>
  </si>
  <si>
    <t>Ökologische Kennwerte des Gebäudes (Oekoindex OI3 und 
Treibhauspotenzial GWP)</t>
  </si>
  <si>
    <t xml:space="preserve">A 3. Produktmanagement </t>
  </si>
  <si>
    <t>A 3.1 Bauökologie in Planung, Ausschreibung und Ausführung</t>
  </si>
  <si>
    <t>A 3.2 Vermeidung kritischer Soffe und Förderung regionaler Holzwirtschaft</t>
  </si>
  <si>
    <t>A 3.3 Zirkuläres Bauen</t>
  </si>
  <si>
    <t>A 4. Naturnahes Bauen und Klimafolgenanpassung</t>
  </si>
  <si>
    <t>Grün und Freiflächenfaktor, Schutz vor Naturgefahren</t>
  </si>
  <si>
    <t>A 6. Haustechnik-Konzept</t>
  </si>
  <si>
    <t>Punkte 
(gesamt max. 40)</t>
  </si>
  <si>
    <t>Anmerkungen</t>
  </si>
  <si>
    <t>A 8. Regenwassernutzung</t>
  </si>
  <si>
    <t>A 7. Reinigungs- und Instandhaltungsfreundlichkeit</t>
  </si>
  <si>
    <t>B 1. Nachweis in Anlehnung an PHPP</t>
  </si>
  <si>
    <t>B 4. Bewertung durch Expertengremium</t>
  </si>
  <si>
    <t>B 5. Netzdienliche Stromspeicherung</t>
  </si>
  <si>
    <r>
      <t>Anforderungswert Primärenergiebedarf Q</t>
    </r>
    <r>
      <rPr>
        <vertAlign val="subscript"/>
        <sz val="10"/>
        <color theme="1"/>
        <rFont val="Arial"/>
        <family val="2"/>
      </rPr>
      <t>p</t>
    </r>
  </si>
  <si>
    <r>
      <t>Nutzenergiebedarf Heizung Q</t>
    </r>
    <r>
      <rPr>
        <vertAlign val="subscript"/>
        <sz val="10"/>
        <color theme="1"/>
        <rFont val="Arial"/>
        <family val="2"/>
      </rPr>
      <t>h,b,</t>
    </r>
  </si>
  <si>
    <t>C 1. Thermischer Komfort im Sommer</t>
  </si>
  <si>
    <t xml:space="preserve">C 2. Messung Raumluftqualität </t>
  </si>
  <si>
    <t>Bewertung durch Expertengremium
Projekt XY</t>
  </si>
  <si>
    <t>Feuchteabhängiges Absenken der Volumenströme ohne aktive Befeuchtung im Winter
Feuchterückgewinnung ohne aktive Befeuchtung im Winter</t>
  </si>
  <si>
    <t>3
10</t>
  </si>
  <si>
    <t>Wenn weg dann Formeln anpassen</t>
  </si>
  <si>
    <t>PVC-freie und halogenfreie Elektroinstallationen</t>
  </si>
  <si>
    <t>PVC-freie Fenster und Sonnen-/Sichtschutz</t>
  </si>
  <si>
    <t>Vermeidung nicht zukunftsfähiger Kältemittel</t>
  </si>
  <si>
    <t>Regenwassernutzung zur Bewässerung der Außenanlagen</t>
  </si>
  <si>
    <t>Regenwasserrnutzung im Gebäude (Anbindung an WC- und Urinalspülung)</t>
  </si>
  <si>
    <t>Durchführung einer ökologischen Bauteilkommentierung vor dem Bauantrag.</t>
  </si>
  <si>
    <t xml:space="preserve">Wenn keine Produktdeklaration mit Konformitätsprüfung beauftragt wird, dann ist die Einhaltung der ökologischen Kriterien durch die beauftragten ausführenden Unternehmen nach der Bauausführung schriftlich zu bestätigen.
Die Qualitätssicherung der Produktdeklaration mit Konformitätsprüfung inkludiert wiederholte Baustellenbegehungen durch den Konformitätsprüfer während der Bauphase.
</t>
  </si>
  <si>
    <r>
      <t xml:space="preserve">Ökologische Fachbauaufsicht </t>
    </r>
    <r>
      <rPr>
        <sz val="12"/>
        <rFont val="Arial"/>
        <family val="2"/>
      </rPr>
      <t>(Punktevergabe nur möglich, wenn eine Produktdeklaration durchgeführt wurde)</t>
    </r>
  </si>
  <si>
    <t>Sehr gute Anbindung an ÖPNV</t>
  </si>
  <si>
    <t>Für alle relevanten Gewerke, die mit ökologischen Kriterien ausgeschrieben wurden, wurden die eingesetzten Bauprodukte in PD-Listen deklariert. Alle in den PD-Listen angeführten Bauprodukte wurden auf Konformität zu den laut Ausschreibung einzuhaltenden ökologischen Kriterien überprüft (Konformitätsprüfung). Für jedes relevante Gewerk, für welches keine PD-Liste vorliegt, werden 10 Punkte abgezogen.</t>
  </si>
  <si>
    <t>PVC-freie Folien, Fußbodenbeläge, Wandbeläge, Wasserrohre</t>
  </si>
  <si>
    <t xml:space="preserve">Naturnahe Außenanlageflächen, naturnahe Dachbegrünung und Artenschutz </t>
  </si>
  <si>
    <t xml:space="preserve">Fußbodenbeläge und deren Bestandteile (inkl. Sockelleisten), Wandbekleidungen (Tapeten) </t>
  </si>
  <si>
    <t>Wasser-, Abwasser- sowie Zu- und Abluftrohre im Projekt 
(bis Kanalschluss)</t>
  </si>
  <si>
    <t>Kabel, Leitungen, Rohre, Dose, etc. (sofern für den Anwendungsfall PVC-frei verfügbar)</t>
  </si>
  <si>
    <t>≥ 95% der Kabellängen aller Elektroinstallationsmaterialien PVC frei und halogenfrei ausgeführt</t>
  </si>
  <si>
    <t>alle vertikalen Fenster, Türen, Tore</t>
  </si>
  <si>
    <t>alle Sonnen- und /oder Sichtschutz</t>
  </si>
  <si>
    <t>Kupfer- und Zinkprodukte im bewitterten Außenbereich (Fassade, Dach, Dacheindeckungen, Regenrinnen, Fallrohre, Kamine, Dachabdichtungen, Fassadenelemente, Verkleidungen) werden vermieden.</t>
  </si>
  <si>
    <t>Fassadenplatten und -Verkleidungen</t>
  </si>
  <si>
    <t>Spachtelmassen, Putze, Grundierungen, Farben, etc.</t>
  </si>
  <si>
    <t>Außenanlagen/WCs</t>
  </si>
  <si>
    <t>Bitumendichtungsbahnen, -pappen (z.B. Gründach), etc.</t>
  </si>
  <si>
    <t>Punkte (gesamt 
max. 75)</t>
  </si>
  <si>
    <t>Dächer inkl. unterbaute Flächen</t>
  </si>
  <si>
    <t xml:space="preserve">Beim Einsatz von nachweislich regionalem Holz (Nachweis über „Holz-von-Hier“ Zertifikate oder nachweislich Einhaltung aller „Holz-von-Hier“ Kriterien) werden folgende Punkte vergeben. </t>
  </si>
  <si>
    <t>Verwendung von CO₂-armem Zement als Bindemittel bei mindestens 70 % des technisch umsetzbaren Betonvolumens (CO₂-Emissionen ≤ 0,469 t CO₂-Äq./t Zement)</t>
  </si>
  <si>
    <t>Einsatz von CO₂-armem Zement</t>
  </si>
  <si>
    <t>Gesamtpunkteanzahl Kriterium A 3.</t>
  </si>
  <si>
    <r>
      <rPr>
        <b/>
        <sz val="11"/>
        <rFont val="Arial"/>
        <family val="2"/>
      </rPr>
      <t>OI</t>
    </r>
    <r>
      <rPr>
        <b/>
        <vertAlign val="subscript"/>
        <sz val="11"/>
        <rFont val="Arial"/>
        <family val="2"/>
      </rPr>
      <t>BG3,BZF</t>
    </r>
    <r>
      <rPr>
        <sz val="11"/>
        <rFont val="Arial"/>
        <family val="2"/>
      </rPr>
      <t xml:space="preserve"> (Berechnung mit Eco2soft, Bilanzgrenze BG3)</t>
    </r>
  </si>
  <si>
    <t>D 1. Ökologische Kennwerte des Gebäudes</t>
  </si>
  <si>
    <t>D 2. Entsorgungsindikator (EI10 BG3, BZF)</t>
  </si>
  <si>
    <t>D 3. Ökologische Bilanz der Baustoffe und Konstruktionen</t>
  </si>
  <si>
    <t xml:space="preserve">Emissionen CO₂-Äquivalente </t>
  </si>
  <si>
    <t>Emissionen CO₂-Äquivalente</t>
  </si>
  <si>
    <t>kg CO₂-Äq./m²a</t>
  </si>
  <si>
    <t>kg CO₂-Äq./(m²a)</t>
  </si>
  <si>
    <r>
      <t>Emissionen CO</t>
    </r>
    <r>
      <rPr>
        <vertAlign val="subscript"/>
        <sz val="10"/>
        <color theme="1"/>
        <rFont val="Arial"/>
        <family val="2"/>
      </rPr>
      <t>₂</t>
    </r>
    <r>
      <rPr>
        <sz val="10"/>
        <color theme="1"/>
        <rFont val="Arial"/>
        <family val="2"/>
      </rPr>
      <t>-Äquivalente</t>
    </r>
  </si>
  <si>
    <r>
      <rPr>
        <b/>
        <sz val="11"/>
        <rFont val="Arial"/>
        <family val="2"/>
      </rPr>
      <t>GWP</t>
    </r>
    <r>
      <rPr>
        <b/>
        <vertAlign val="subscript"/>
        <sz val="11"/>
        <rFont val="Arial"/>
        <family val="2"/>
      </rPr>
      <t>Total</t>
    </r>
    <r>
      <rPr>
        <sz val="11"/>
        <rFont val="Arial"/>
        <family val="2"/>
      </rPr>
      <t xml:space="preserve"> (CO₂-Äq. / m² BZF)</t>
    </r>
  </si>
  <si>
    <r>
      <rPr>
        <b/>
        <sz val="11"/>
        <rFont val="Arial"/>
        <family val="2"/>
      </rPr>
      <t xml:space="preserve">Entsorgungsindikator EI10 </t>
    </r>
    <r>
      <rPr>
        <sz val="11"/>
        <rFont val="Arial"/>
        <family val="2"/>
      </rPr>
      <t>(Berechnung mit Eco2soft, Bilanzgrenze BG3)</t>
    </r>
  </si>
  <si>
    <t>Anzahl vereinfachte Berechnung Wirtschaftlichkeit (inkl. CO₂-Folgekosten)</t>
  </si>
  <si>
    <t>QNG 04 Trinkwasserbedarf in der Nutzungsphase</t>
  </si>
  <si>
    <t>QNG 10 Erfüllung von Nutzeranforderungen inkl. Qualitätskontrolle der Bauausführung</t>
  </si>
  <si>
    <t>QNG 15 Wirtschaftlichkeitsabschätzungen</t>
  </si>
  <si>
    <r>
      <rPr>
        <b/>
        <sz val="12"/>
        <color rgb="FF0070C0"/>
        <rFont val="Arial"/>
        <family val="2"/>
      </rPr>
      <t>LNB</t>
    </r>
    <r>
      <rPr>
        <b/>
        <sz val="12"/>
        <color theme="1"/>
        <rFont val="Arial"/>
        <family val="2"/>
      </rPr>
      <t xml:space="preserve">, </t>
    </r>
    <r>
      <rPr>
        <b/>
        <sz val="12"/>
        <color rgb="FFC00000"/>
        <rFont val="Arial"/>
        <family val="2"/>
      </rPr>
      <t>QNG</t>
    </r>
    <r>
      <rPr>
        <b/>
        <sz val="12"/>
        <color theme="1"/>
        <rFont val="Arial"/>
        <family val="2"/>
      </rPr>
      <t xml:space="preserve"> Nebenrechnungen </t>
    </r>
  </si>
  <si>
    <t xml:space="preserve">A 5. Fahrradabstellplätze und Elektromobilität </t>
  </si>
  <si>
    <t>D.  Ökologische Gebäudebilanzierung</t>
  </si>
  <si>
    <r>
      <t>Ergebnis LNB_</t>
    </r>
    <r>
      <rPr>
        <b/>
        <sz val="10"/>
        <color rgb="FFC00000"/>
        <rFont val="Arial"/>
        <family val="2"/>
      </rPr>
      <t>QNG</t>
    </r>
  </si>
  <si>
    <t>Punkte bei Erreichung der Optimalausstattung</t>
  </si>
  <si>
    <t>Fahrradabstellplätze</t>
  </si>
  <si>
    <t>Angaben zum geplanten Radständersystem und Autostellplätzen</t>
  </si>
  <si>
    <t>Realisierte Stellplätze mehrspurig für KFZ</t>
  </si>
  <si>
    <r>
      <t xml:space="preserve">Realisiserte Fahrradstellplätze </t>
    </r>
    <r>
      <rPr>
        <u/>
        <sz val="10"/>
        <color theme="1"/>
        <rFont val="Arial"/>
        <family val="2"/>
      </rPr>
      <t>überdacht</t>
    </r>
  </si>
  <si>
    <r>
      <t xml:space="preserve">Realisierte Fahrradstellplätze </t>
    </r>
    <r>
      <rPr>
        <u/>
        <sz val="10"/>
        <color theme="1"/>
        <rFont val="Arial"/>
        <family val="2"/>
      </rPr>
      <t>nicht überdacht</t>
    </r>
  </si>
  <si>
    <t>QNG 20 Gründach</t>
  </si>
  <si>
    <r>
      <t xml:space="preserve">B 2. Nachweis in Anlehnung an GEG / 
</t>
    </r>
    <r>
      <rPr>
        <b/>
        <sz val="12"/>
        <rFont val="Arial"/>
        <family val="2"/>
      </rPr>
      <t>B 3. Bewertung durch dynamische Gebäudesimulation</t>
    </r>
  </si>
  <si>
    <r>
      <t xml:space="preserve">Summe Dachfläche(n) begrünbar 
(Dachneigung </t>
    </r>
    <r>
      <rPr>
        <sz val="11"/>
        <rFont val="Aptos Narrow"/>
        <family val="2"/>
      </rPr>
      <t>≤</t>
    </r>
    <r>
      <rPr>
        <sz val="11"/>
        <rFont val="Arial"/>
        <family val="2"/>
      </rPr>
      <t>10°)</t>
    </r>
  </si>
  <si>
    <t>Kommentierung der Haustechnik-Schemata und Raumbücher (Heizung &amp; Lüftung) durch externe, fachkundige Personen vor Stellung des Bauantrags oder Ausschreibung</t>
  </si>
  <si>
    <t>Fassaden</t>
  </si>
  <si>
    <t xml:space="preserve">Stellplätze gesamt nach LNB Vorgaben </t>
  </si>
  <si>
    <t>LNB C.2 Messung Raumluftqualität</t>
  </si>
  <si>
    <t xml:space="preserve">PV Jahresertrag gesamt </t>
  </si>
  <si>
    <t>Wärmebrücken</t>
  </si>
  <si>
    <t>QNG 01 Flächeninanspruchnahme</t>
  </si>
  <si>
    <t>Qualität der Gebäudehülle</t>
  </si>
  <si>
    <t>Basisfläche</t>
  </si>
  <si>
    <t>Teilversiegelte Oberflächen mit einem Abflussbeiwert 0,3 - 0,6</t>
  </si>
  <si>
    <t>Versiegelte Oberflächen ab einem Abflussbeiwert &gt; 0,6</t>
  </si>
  <si>
    <t>Rasen-, Wiesen- und Staudenflächen (unverholzte Bereiche)</t>
  </si>
  <si>
    <t>Strauch- und Heckenflächen</t>
  </si>
  <si>
    <t>Sickerfläche, Rückhaltebecken, Raingarden oder ähnliches</t>
  </si>
  <si>
    <t>Benennung einer ökologischen Fachbauaufsicht durch Bauherrn 
(max. 3 relevante Gewerke nicht erfasst)</t>
  </si>
  <si>
    <t>Vermeidung von Kupfer und Zink im bewitterten Außenbereich</t>
  </si>
  <si>
    <t>LNB A 4.5 Grün- und Freiflächenfaktor</t>
  </si>
  <si>
    <t>Änderungen zur Vorversion</t>
  </si>
  <si>
    <t>Änderung</t>
  </si>
  <si>
    <t>Version 2026 – 1.0</t>
  </si>
  <si>
    <t>Seit 1. Januar 2026 in Kraft.</t>
  </si>
  <si>
    <t xml:space="preserve">Version 2026 - 1.1 </t>
  </si>
  <si>
    <t>Redaktionelle Änderung im Tabellenblatt Nebenrechnungen und eine Excel-technische Korrektur im Tabellenblatt A 7. Reinigungs- und Instandhaltungsfreundlichkeit. Änderung Farbe Eingabefeld im Tabellenblatt Punktevergabe LNB.
Exceltechnische Korrektur im Tabellenblatt B 2. B 3.. Korrektur Ausgabe Primärenergiebedarf Qp. Änderung Tabellenblatt Punktevergabe LNB_QNG - Änderung der Darstellung der Kriterien von Nichtwohngebäude</t>
  </si>
  <si>
    <r>
      <t xml:space="preserve">LNB - Leitfaden Nachhaltig Bauen
Bewertung öffentlicher Gebäude - Nichtwohngebäude
</t>
    </r>
    <r>
      <rPr>
        <b/>
        <sz val="11"/>
        <rFont val="Arial"/>
        <family val="2"/>
      </rPr>
      <t>Version 2026 - 1.1</t>
    </r>
  </si>
  <si>
    <r>
      <t xml:space="preserve">Vorlage eines unterfertigten Einregulierungsprotokolls für Heizung und Lüftung (Mindestangabe: Volumenströme je Ventil und Strang inkl. Dokumentation der Einstellwerte) - </t>
    </r>
    <r>
      <rPr>
        <i/>
        <sz val="10"/>
        <color rgb="FFFF0000"/>
        <rFont val="Arial"/>
        <family val="2"/>
      </rPr>
      <t>MUSSKRITERIUM</t>
    </r>
  </si>
  <si>
    <t>Einsatz reflexionsarmer Verglasung (&lt; 15 %) für alle Glasflächen &gt; 3 m² und 
fachgerechte Bewertung der Gefahrenbereiche durch eine Fachperson; bei hohem Risiko ggf. Einsatz von Vogelschutzglas (Klasse A)</t>
  </si>
  <si>
    <t xml:space="preserve">Wasserdurchlässige Oberflächen mit einem Abflussbeiwert bis zu 0,3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</si>
</sst>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0.00\ &quot;€&quot;;[Red]\-#,##0.00\ &quot;€&quot;"/>
    <numFmt numFmtId="43" formatCode="_-* #,##0.00_-;\-* #,##0.00_-;_-* &quot;-&quot;??_-;_-@_-"/>
    <numFmt numFmtId="164" formatCode="0&quot;.&quot;"/>
    <numFmt numFmtId="165" formatCode="&quot;max. &quot;0"/>
    <numFmt numFmtId="166" formatCode="0.0"/>
    <numFmt numFmtId="167" formatCode="#,##0_ ;\-#,##0\ "/>
    <numFmt numFmtId="168" formatCode="0.0000"/>
    <numFmt numFmtId="169" formatCode="0.0000000"/>
    <numFmt numFmtId="170" formatCode="0.000"/>
  </numFmts>
  <fonts count="131">
    <font>
      <sz val="10"/>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64"/>
      <name val="Calibri"/>
      <family val="2"/>
    </font>
    <font>
      <sz val="11"/>
      <color indexed="65"/>
      <name val="Calibri"/>
      <family val="2"/>
    </font>
    <font>
      <b/>
      <sz val="11"/>
      <color indexed="63"/>
      <name val="Calibri"/>
      <family val="2"/>
    </font>
    <font>
      <b/>
      <sz val="11"/>
      <color rgb="FF3F3F3F"/>
      <name val="Calibri"/>
      <family val="2"/>
      <scheme val="minor"/>
    </font>
    <font>
      <b/>
      <sz val="11"/>
      <color indexed="52"/>
      <name val="Calibri"/>
      <family val="2"/>
    </font>
    <font>
      <sz val="11"/>
      <color indexed="62"/>
      <name val="Calibri"/>
      <family val="2"/>
    </font>
    <font>
      <sz val="11"/>
      <color rgb="FF3F3F76"/>
      <name val="Calibri"/>
      <family val="2"/>
      <scheme val="minor"/>
    </font>
    <font>
      <b/>
      <sz val="11"/>
      <color indexed="64"/>
      <name val="Calibri"/>
      <family val="2"/>
    </font>
    <font>
      <i/>
      <sz val="11"/>
      <color indexed="23"/>
      <name val="Calibri"/>
      <family val="2"/>
    </font>
    <font>
      <sz val="11"/>
      <color indexed="17"/>
      <name val="Calibri"/>
      <family val="2"/>
    </font>
    <font>
      <sz val="10"/>
      <name val="Arial"/>
      <family val="2"/>
    </font>
    <font>
      <u/>
      <sz val="10"/>
      <color indexed="4"/>
      <name val="Arial"/>
      <family val="2"/>
    </font>
    <font>
      <sz val="11"/>
      <color indexed="20"/>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2"/>
      <name val="Calibri"/>
      <family val="2"/>
    </font>
    <font>
      <b/>
      <sz val="11"/>
      <color indexed="65"/>
      <name val="Calibri"/>
      <family val="2"/>
    </font>
    <font>
      <b/>
      <sz val="22"/>
      <color indexed="64"/>
      <name val="Arial"/>
      <family val="2"/>
    </font>
    <font>
      <b/>
      <sz val="16"/>
      <name val="Arial"/>
      <family val="2"/>
    </font>
    <font>
      <sz val="12"/>
      <name val="Arial"/>
      <family val="2"/>
    </font>
    <font>
      <b/>
      <sz val="12"/>
      <name val="Arial"/>
      <family val="2"/>
    </font>
    <font>
      <b/>
      <sz val="14"/>
      <name val="Arial"/>
      <family val="2"/>
    </font>
    <font>
      <b/>
      <sz val="10"/>
      <name val="Arial"/>
      <family val="2"/>
    </font>
    <font>
      <b/>
      <sz val="22"/>
      <name val="Arial"/>
      <family val="2"/>
    </font>
    <font>
      <b/>
      <sz val="18"/>
      <name val="Arial"/>
      <family val="2"/>
    </font>
    <font>
      <b/>
      <sz val="11"/>
      <name val="Arial"/>
      <family val="2"/>
    </font>
    <font>
      <sz val="10"/>
      <color indexed="2"/>
      <name val="Arial"/>
      <family val="2"/>
    </font>
    <font>
      <sz val="16"/>
      <name val="Arial"/>
      <family val="2"/>
    </font>
    <font>
      <b/>
      <sz val="12"/>
      <name val="L Frutiger Light"/>
    </font>
    <font>
      <b/>
      <sz val="10"/>
      <color indexed="64"/>
      <name val="Arial"/>
      <family val="2"/>
    </font>
    <font>
      <sz val="10"/>
      <color theme="0"/>
      <name val="Arial"/>
      <family val="2"/>
    </font>
    <font>
      <b/>
      <sz val="16"/>
      <name val="L Frutiger Light"/>
    </font>
    <font>
      <b/>
      <sz val="12"/>
      <color indexed="64"/>
      <name val="Arial"/>
      <family val="2"/>
    </font>
    <font>
      <sz val="10"/>
      <color indexed="63"/>
      <name val="Arial"/>
      <family val="2"/>
    </font>
    <font>
      <i/>
      <sz val="10"/>
      <name val="Arial"/>
      <family val="2"/>
    </font>
    <font>
      <b/>
      <sz val="12"/>
      <color indexed="2"/>
      <name val="Arial"/>
      <family val="2"/>
    </font>
    <font>
      <sz val="10"/>
      <color indexed="64"/>
      <name val="Arial"/>
      <family val="2"/>
    </font>
    <font>
      <b/>
      <sz val="12"/>
      <color theme="1"/>
      <name val="Arial"/>
      <family val="2"/>
    </font>
    <font>
      <sz val="11"/>
      <color theme="1"/>
      <name val="Arial"/>
      <family val="2"/>
    </font>
    <font>
      <sz val="11"/>
      <color theme="0"/>
      <name val="Arial"/>
      <family val="2"/>
    </font>
    <font>
      <b/>
      <sz val="10"/>
      <color theme="1"/>
      <name val="Arial"/>
      <family val="2"/>
    </font>
    <font>
      <sz val="9"/>
      <color theme="1"/>
      <name val="Arial"/>
      <family val="2"/>
    </font>
    <font>
      <sz val="12"/>
      <color theme="1"/>
      <name val="Arial"/>
      <family val="2"/>
    </font>
    <font>
      <b/>
      <sz val="11"/>
      <color theme="1"/>
      <name val="Arial"/>
      <family val="2"/>
    </font>
    <font>
      <sz val="8"/>
      <color theme="1"/>
      <name val="Arial"/>
      <family val="2"/>
    </font>
    <font>
      <b/>
      <sz val="11"/>
      <color theme="1"/>
      <name val="Calibri"/>
      <family val="2"/>
      <scheme val="minor"/>
    </font>
    <font>
      <sz val="10"/>
      <color rgb="FF3F3F76"/>
      <name val="Arial"/>
      <family val="2"/>
    </font>
    <font>
      <b/>
      <sz val="11"/>
      <color indexed="64"/>
      <name val="Arial"/>
      <family val="2"/>
    </font>
    <font>
      <b/>
      <sz val="16"/>
      <color theme="1"/>
      <name val="Arial"/>
      <family val="2"/>
    </font>
    <font>
      <sz val="11"/>
      <name val="Arial"/>
      <family val="2"/>
    </font>
    <font>
      <sz val="12"/>
      <color theme="0"/>
      <name val="Arial"/>
      <family val="2"/>
    </font>
    <font>
      <b/>
      <sz val="11"/>
      <color indexed="2"/>
      <name val="Arial"/>
      <family val="2"/>
    </font>
    <font>
      <vertAlign val="subscript"/>
      <sz val="10"/>
      <color theme="1"/>
      <name val="Arial"/>
      <family val="2"/>
    </font>
    <font>
      <b/>
      <vertAlign val="subscript"/>
      <sz val="10"/>
      <color theme="1"/>
      <name val="Arial"/>
      <family val="2"/>
    </font>
    <font>
      <sz val="10"/>
      <color theme="1"/>
      <name val="Arial"/>
      <family val="2"/>
    </font>
    <font>
      <sz val="10"/>
      <name val="Arial"/>
      <family val="2"/>
    </font>
    <font>
      <b/>
      <sz val="10"/>
      <color rgb="FF000000"/>
      <name val="Arial"/>
      <family val="2"/>
    </font>
    <font>
      <b/>
      <sz val="10"/>
      <color indexed="8"/>
      <name val="Arial"/>
      <family val="2"/>
    </font>
    <font>
      <sz val="10"/>
      <color indexed="8"/>
      <name val="Arial"/>
      <family val="2"/>
    </font>
    <font>
      <b/>
      <sz val="12"/>
      <color indexed="8"/>
      <name val="Arial"/>
      <family val="2"/>
    </font>
    <font>
      <sz val="12"/>
      <name val="Arial"/>
      <family val="2"/>
    </font>
    <font>
      <vertAlign val="superscript"/>
      <sz val="10"/>
      <color theme="1"/>
      <name val="Arial"/>
      <family val="2"/>
    </font>
    <font>
      <sz val="11"/>
      <color rgb="FFFF0000"/>
      <name val="Calibri"/>
      <family val="2"/>
      <scheme val="minor"/>
    </font>
    <font>
      <sz val="11"/>
      <color indexed="8"/>
      <name val="Calibri"/>
      <family val="2"/>
    </font>
    <font>
      <b/>
      <sz val="11"/>
      <color indexed="8"/>
      <name val="Arial"/>
      <family val="2"/>
    </font>
    <font>
      <sz val="10"/>
      <color rgb="FFFF0000"/>
      <name val="Arial"/>
      <family val="2"/>
    </font>
    <font>
      <sz val="10"/>
      <color rgb="FF000000"/>
      <name val="Arial"/>
      <family val="2"/>
    </font>
    <font>
      <sz val="16"/>
      <color rgb="FFFF0000"/>
      <name val="Arial"/>
      <family val="2"/>
    </font>
    <font>
      <sz val="12"/>
      <color rgb="FFFF0000"/>
      <name val="Arial"/>
      <family val="2"/>
    </font>
    <font>
      <sz val="11"/>
      <color rgb="FFFF0000"/>
      <name val="Arial"/>
      <family val="2"/>
    </font>
    <font>
      <sz val="9"/>
      <name val="Arial"/>
      <family val="2"/>
    </font>
    <font>
      <sz val="10"/>
      <color theme="1"/>
      <name val="Arial"/>
      <family val="2"/>
    </font>
    <font>
      <b/>
      <u/>
      <sz val="10"/>
      <color indexed="4"/>
      <name val="Arial"/>
      <family val="2"/>
    </font>
    <font>
      <b/>
      <sz val="12"/>
      <color rgb="FFC00000"/>
      <name val="Arial"/>
      <family val="2"/>
    </font>
    <font>
      <b/>
      <sz val="16"/>
      <color theme="1"/>
      <name val="Calibri"/>
      <family val="2"/>
      <scheme val="minor"/>
    </font>
    <font>
      <sz val="16"/>
      <color theme="1"/>
      <name val="Calibri"/>
      <family val="2"/>
      <scheme val="minor"/>
    </font>
    <font>
      <sz val="11"/>
      <color indexed="64"/>
      <name val="Arial"/>
      <family val="2"/>
    </font>
    <font>
      <vertAlign val="subscript"/>
      <sz val="12"/>
      <name val="Arial"/>
      <family val="2"/>
    </font>
    <font>
      <sz val="12"/>
      <name val="Aptos Narrow"/>
      <family val="2"/>
    </font>
    <font>
      <sz val="10"/>
      <color theme="1"/>
      <name val="Arial"/>
      <family val="2"/>
    </font>
    <font>
      <sz val="10"/>
      <name val="Arial"/>
      <family val="2"/>
    </font>
    <font>
      <b/>
      <sz val="12"/>
      <name val="Arial"/>
      <family val="2"/>
    </font>
    <font>
      <sz val="11"/>
      <color theme="1"/>
      <name val="Calibri"/>
      <family val="2"/>
      <scheme val="minor"/>
    </font>
    <font>
      <b/>
      <sz val="11"/>
      <color theme="1"/>
      <name val="Calibri"/>
      <family val="2"/>
      <scheme val="minor"/>
    </font>
    <font>
      <b/>
      <sz val="11"/>
      <color theme="1"/>
      <name val="Arial"/>
      <family val="2"/>
    </font>
    <font>
      <sz val="11"/>
      <color theme="1"/>
      <name val="Arial"/>
      <family val="2"/>
    </font>
    <font>
      <b/>
      <sz val="10"/>
      <color theme="1"/>
      <name val="Arial"/>
      <family val="2"/>
    </font>
    <font>
      <sz val="11"/>
      <color rgb="FF3F3F76"/>
      <name val="Calibri"/>
      <family val="2"/>
      <scheme val="minor"/>
    </font>
    <font>
      <b/>
      <sz val="11"/>
      <color indexed="2"/>
      <name val="Arial"/>
      <family val="2"/>
    </font>
    <font>
      <b/>
      <sz val="11"/>
      <color indexed="64"/>
      <name val="Arial"/>
      <family val="2"/>
    </font>
    <font>
      <sz val="11"/>
      <name val="Arial"/>
      <family val="2"/>
    </font>
    <font>
      <b/>
      <sz val="14"/>
      <color theme="1"/>
      <name val="Calibri"/>
      <family val="2"/>
      <scheme val="minor"/>
    </font>
    <font>
      <b/>
      <sz val="11"/>
      <color theme="3"/>
      <name val="Arial"/>
      <family val="2"/>
    </font>
    <font>
      <sz val="10"/>
      <color theme="1"/>
      <name val="Arial"/>
      <family val="2"/>
    </font>
    <font>
      <sz val="10"/>
      <name val="Arial"/>
      <family val="2"/>
    </font>
    <font>
      <u/>
      <sz val="10"/>
      <color indexed="12"/>
      <name val="Arial"/>
      <family val="2"/>
    </font>
    <font>
      <b/>
      <u/>
      <sz val="10"/>
      <name val="Arial"/>
      <family val="2"/>
    </font>
    <font>
      <b/>
      <vertAlign val="superscript"/>
      <sz val="11"/>
      <color theme="1"/>
      <name val="Arial"/>
      <family val="2"/>
    </font>
    <font>
      <sz val="11"/>
      <color theme="1"/>
      <name val="Calibri"/>
      <family val="2"/>
      <scheme val="minor"/>
    </font>
    <font>
      <sz val="11"/>
      <color rgb="FF3F3F76"/>
      <name val="Calibri"/>
      <family val="2"/>
      <scheme val="minor"/>
    </font>
    <font>
      <sz val="8"/>
      <name val="Arial"/>
      <family val="2"/>
    </font>
    <font>
      <b/>
      <sz val="10"/>
      <color theme="1"/>
      <name val="Arial"/>
      <family val="2"/>
    </font>
    <font>
      <b/>
      <sz val="11"/>
      <color rgb="FFC00000"/>
      <name val="Arial"/>
      <family val="2"/>
    </font>
    <font>
      <b/>
      <sz val="14"/>
      <color theme="1"/>
      <name val="Arial"/>
      <family val="2"/>
    </font>
    <font>
      <i/>
      <sz val="10"/>
      <color rgb="FFFF0000"/>
      <name val="Arial"/>
      <family val="2"/>
    </font>
    <font>
      <b/>
      <vertAlign val="subscript"/>
      <sz val="11"/>
      <name val="Arial"/>
      <family val="2"/>
    </font>
    <font>
      <b/>
      <sz val="12"/>
      <color theme="3"/>
      <name val="Arial"/>
      <family val="2"/>
    </font>
    <font>
      <b/>
      <sz val="12"/>
      <color rgb="FF0070C0"/>
      <name val="Arial"/>
      <family val="2"/>
    </font>
    <font>
      <u/>
      <sz val="10"/>
      <color theme="1"/>
      <name val="Arial"/>
      <family val="2"/>
    </font>
    <font>
      <b/>
      <sz val="10"/>
      <color rgb="FFC00000"/>
      <name val="Arial"/>
      <family val="2"/>
    </font>
    <font>
      <sz val="11"/>
      <name val="Aptos Narrow"/>
      <family val="2"/>
    </font>
    <font>
      <b/>
      <sz val="13"/>
      <color theme="1"/>
      <name val="Open sans"/>
    </font>
    <font>
      <sz val="10"/>
      <color theme="1"/>
      <name val="Open sans"/>
    </font>
    <font>
      <sz val="11"/>
      <color theme="1"/>
      <name val="Open sans"/>
    </font>
    <font>
      <b/>
      <sz val="12"/>
      <color theme="1"/>
      <name val="Open sans"/>
    </font>
  </fonts>
  <fills count="75">
    <fill>
      <patternFill patternType="none"/>
    </fill>
    <fill>
      <patternFill patternType="gray125"/>
    </fill>
    <fill>
      <patternFill patternType="solid">
        <fgColor indexed="45"/>
        <bgColor indexed="45"/>
      </patternFill>
    </fill>
    <fill>
      <patternFill patternType="solid">
        <fgColor indexed="31"/>
        <bgColor indexed="31"/>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rgb="FFF2F2F2"/>
        <bgColor rgb="FFF2F2F2"/>
      </patternFill>
    </fill>
    <fill>
      <patternFill patternType="solid">
        <fgColor indexed="26"/>
        <bgColor indexed="26"/>
      </patternFill>
    </fill>
    <fill>
      <patternFill patternType="solid">
        <fgColor indexed="55"/>
        <bgColor indexed="55"/>
      </patternFill>
    </fill>
    <fill>
      <patternFill patternType="solid">
        <fgColor indexed="43"/>
        <bgColor indexed="64"/>
      </patternFill>
    </fill>
    <fill>
      <patternFill patternType="solid">
        <fgColor theme="6" tint="0.79998168889431442"/>
        <bgColor indexed="64"/>
      </patternFill>
    </fill>
    <fill>
      <patternFill patternType="solid">
        <fgColor rgb="FFC4D79B"/>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tint="0.39997558519241921"/>
        <bgColor indexed="47"/>
      </patternFill>
    </fill>
    <fill>
      <patternFill patternType="solid">
        <fgColor theme="9" tint="0.39997558519241921"/>
        <bgColor indexed="64"/>
      </patternFill>
    </fill>
    <fill>
      <patternFill patternType="solid">
        <fgColor rgb="FF538ED5"/>
        <bgColor indexed="64"/>
      </patternFill>
    </fill>
    <fill>
      <patternFill patternType="solid">
        <fgColor theme="4" tint="0.59999389629810485"/>
        <bgColor indexed="64"/>
      </patternFill>
    </fill>
    <fill>
      <patternFill patternType="solid">
        <fgColor indexed="5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indexed="47"/>
      </patternFill>
    </fill>
    <fill>
      <patternFill patternType="solid">
        <fgColor rgb="FF99CCFF"/>
        <bgColor indexed="64"/>
      </patternFill>
    </fill>
    <fill>
      <patternFill patternType="solid">
        <fgColor rgb="FFFFCC99"/>
      </patternFill>
    </fill>
    <fill>
      <patternFill patternType="solid">
        <fgColor indexed="45"/>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6" tint="0.79998168889431442"/>
        <bgColor indexed="47"/>
      </patternFill>
    </fill>
    <fill>
      <patternFill patternType="solid">
        <fgColor theme="0" tint="-4.9989318521683403E-2"/>
        <bgColor indexed="64"/>
      </patternFill>
    </fill>
    <fill>
      <patternFill patternType="solid">
        <fgColor theme="8" tint="-0.249977111117893"/>
        <bgColor indexed="64"/>
      </patternFill>
    </fill>
    <fill>
      <patternFill patternType="solid">
        <fgColor theme="8" tint="0.59999389629810485"/>
        <bgColor indexed="47"/>
      </patternFill>
    </fill>
    <fill>
      <patternFill patternType="solid">
        <fgColor theme="8" tint="0.79998168889431442"/>
        <bgColor indexed="47"/>
      </patternFill>
    </fill>
    <fill>
      <patternFill patternType="solid">
        <fgColor theme="7" tint="-0.249977111117893"/>
        <bgColor indexed="64"/>
      </patternFill>
    </fill>
    <fill>
      <patternFill patternType="solid">
        <fgColor theme="7" tint="0.59999389629810485"/>
        <bgColor indexed="64"/>
      </patternFill>
    </fill>
    <fill>
      <patternFill patternType="solid">
        <fgColor theme="7" tint="0.79998168889431442"/>
        <bgColor indexed="47"/>
      </patternFill>
    </fill>
    <fill>
      <patternFill patternType="solid">
        <fgColor theme="7" tint="0.79998168889431442"/>
        <bgColor indexed="64"/>
      </patternFill>
    </fill>
    <fill>
      <patternFill patternType="solid">
        <fgColor theme="3" tint="0.59999389629810485"/>
        <bgColor indexed="64"/>
      </patternFill>
    </fill>
    <fill>
      <patternFill patternType="solid">
        <fgColor theme="3" tint="0.79998168889431442"/>
        <bgColor indexed="47"/>
      </patternFill>
    </fill>
    <fill>
      <patternFill patternType="solid">
        <fgColor theme="3" tint="0.79998168889431442"/>
        <bgColor indexed="64"/>
      </patternFill>
    </fill>
    <fill>
      <patternFill patternType="solid">
        <fgColor theme="3" tint="0.59999389629810485"/>
        <bgColor indexed="47"/>
      </patternFill>
    </fill>
    <fill>
      <patternFill patternType="solid">
        <fgColor theme="5"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6" tint="0.39997558519241921"/>
        <bgColor indexed="47"/>
      </patternFill>
    </fill>
    <fill>
      <patternFill patternType="solid">
        <fgColor theme="9" tint="0.79998168889431442"/>
        <bgColor indexed="47"/>
      </patternFill>
    </fill>
    <fill>
      <patternFill patternType="solid">
        <fgColor theme="9" tint="0.79998168889431442"/>
        <bgColor indexed="64"/>
      </patternFill>
    </fill>
    <fill>
      <patternFill patternType="solid">
        <fgColor theme="0" tint="-4.9989318521683403E-2"/>
        <bgColor indexed="47"/>
      </patternFill>
    </fill>
    <fill>
      <patternFill patternType="solid">
        <fgColor theme="0" tint="-0.14999847407452621"/>
        <bgColor theme="0" tint="-0.14999847407452621"/>
      </patternFill>
    </fill>
    <fill>
      <patternFill patternType="solid">
        <fgColor theme="0" tint="-4.9989318521683403E-2"/>
        <bgColor theme="0" tint="-4.9989318521683403E-2"/>
      </patternFill>
    </fill>
    <fill>
      <patternFill patternType="solid">
        <fgColor theme="6" tint="0.79998168889431442"/>
        <bgColor theme="9" tint="0.79998168889431442"/>
      </patternFill>
    </fill>
    <fill>
      <patternFill patternType="solid">
        <fgColor theme="6" tint="0.39997558519241921"/>
        <bgColor theme="9" tint="0.39997558519241921"/>
      </patternFill>
    </fill>
    <fill>
      <patternFill patternType="solid">
        <fgColor theme="8" tint="0.79998168889431442"/>
        <bgColor indexed="64"/>
      </patternFill>
    </fill>
    <fill>
      <patternFill patternType="solid">
        <fgColor theme="0" tint="-0.14999847407452621"/>
        <bgColor indexed="47"/>
      </patternFill>
    </fill>
    <fill>
      <patternFill patternType="solid">
        <fgColor theme="0" tint="-0.34998626667073579"/>
        <bgColor indexed="47"/>
      </patternFill>
    </fill>
    <fill>
      <patternFill patternType="solid">
        <fgColor rgb="FFFFC000"/>
        <bgColor indexed="64"/>
      </patternFill>
    </fill>
  </fills>
  <borders count="157">
    <border>
      <left/>
      <right/>
      <top/>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left>
      <right style="thin">
        <color theme="1"/>
      </right>
      <top style="medium">
        <color theme="1"/>
      </top>
      <bottom style="medium">
        <color theme="1"/>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theme="1"/>
      </left>
      <right style="medium">
        <color theme="1"/>
      </right>
      <top style="thin">
        <color theme="1"/>
      </top>
      <bottom style="medium">
        <color theme="1"/>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theme="1"/>
      </left>
      <right style="thin">
        <color theme="1"/>
      </right>
      <top style="thin">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theme="1"/>
      </left>
      <right/>
      <top style="medium">
        <color theme="1"/>
      </top>
      <bottom style="medium">
        <color theme="1"/>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theme="1"/>
      </right>
      <top style="thin">
        <color theme="1"/>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medium">
        <color theme="1"/>
      </bottom>
      <diagonal/>
    </border>
    <border>
      <left style="thin">
        <color theme="1"/>
      </left>
      <right style="medium">
        <color theme="1"/>
      </right>
      <top/>
      <bottom style="medium">
        <color theme="1"/>
      </bottom>
      <diagonal/>
    </border>
    <border>
      <left/>
      <right style="thin">
        <color indexed="64"/>
      </right>
      <top style="medium">
        <color indexed="64"/>
      </top>
      <bottom style="medium">
        <color indexed="64"/>
      </bottom>
      <diagonal/>
    </border>
    <border>
      <left/>
      <right style="thin">
        <color theme="1"/>
      </right>
      <top style="thin">
        <color theme="1"/>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diagonal/>
    </border>
    <border>
      <left style="thin">
        <color auto="1"/>
      </left>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theme="1"/>
      </left>
      <right/>
      <top/>
      <bottom style="medium">
        <color indexed="64"/>
      </bottom>
      <diagonal/>
    </border>
    <border>
      <left style="medium">
        <color indexed="64"/>
      </left>
      <right style="thin">
        <color theme="1"/>
      </right>
      <top/>
      <bottom style="medium">
        <color indexed="6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theme="1"/>
      </left>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auto="1"/>
      </top>
      <bottom style="medium">
        <color auto="1"/>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top/>
      <bottom style="medium">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thin">
        <color theme="1"/>
      </bottom>
      <diagonal/>
    </border>
    <border>
      <left style="medium">
        <color indexed="64"/>
      </left>
      <right/>
      <top style="medium">
        <color theme="1"/>
      </top>
      <bottom style="medium">
        <color theme="1"/>
      </bottom>
      <diagonal/>
    </border>
    <border>
      <left style="medium">
        <color indexed="64"/>
      </left>
      <right/>
      <top style="medium">
        <color theme="1"/>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s>
  <cellStyleXfs count="393">
    <xf numFmtId="0" fontId="0" fillId="0" borderId="0"/>
    <xf numFmtId="0" fontId="13" fillId="2" borderId="0" applyNumberFormat="0" applyBorder="0"/>
    <xf numFmtId="0" fontId="13" fillId="2" borderId="0" applyNumberFormat="0" applyBorder="0"/>
    <xf numFmtId="0" fontId="13" fillId="3" borderId="0" applyNumberFormat="0" applyBorder="0"/>
    <xf numFmtId="0" fontId="13" fillId="3" borderId="0" applyNumberFormat="0" applyBorder="0"/>
    <xf numFmtId="0" fontId="13" fillId="3" borderId="0" applyNumberFormat="0" applyBorder="0"/>
    <xf numFmtId="0" fontId="13" fillId="2" borderId="0" applyNumberFormat="0" applyBorder="0"/>
    <xf numFmtId="0" fontId="13" fillId="2" borderId="0" applyNumberFormat="0" applyBorder="0"/>
    <xf numFmtId="0" fontId="13" fillId="2" borderId="0" applyNumberFormat="0" applyBorder="0"/>
    <xf numFmtId="0" fontId="13" fillId="2" borderId="0" applyNumberFormat="0" applyBorder="0"/>
    <xf numFmtId="0" fontId="13" fillId="2" borderId="0" applyNumberFormat="0" applyBorder="0"/>
    <xf numFmtId="0" fontId="13" fillId="4" borderId="0" applyNumberFormat="0" applyBorder="0"/>
    <xf numFmtId="0" fontId="13" fillId="4" borderId="0" applyNumberFormat="0" applyBorder="0"/>
    <xf numFmtId="0" fontId="13" fillId="4" borderId="0" applyNumberFormat="0" applyBorder="0"/>
    <xf numFmtId="0" fontId="13" fillId="5" borderId="0" applyNumberFormat="0" applyBorder="0"/>
    <xf numFmtId="0" fontId="13" fillId="5" borderId="0" applyNumberFormat="0" applyBorder="0"/>
    <xf numFmtId="0" fontId="13" fillId="5" borderId="0" applyNumberFormat="0" applyBorder="0"/>
    <xf numFmtId="0" fontId="13" fillId="6" borderId="0" applyNumberFormat="0" applyBorder="0"/>
    <xf numFmtId="0" fontId="13" fillId="6" borderId="0" applyNumberFormat="0" applyBorder="0"/>
    <xf numFmtId="0" fontId="13" fillId="6" borderId="0" applyNumberFormat="0" applyBorder="0"/>
    <xf numFmtId="0" fontId="13" fillId="7" borderId="0" applyNumberFormat="0" applyBorder="0"/>
    <xf numFmtId="0" fontId="13" fillId="7" borderId="0" applyNumberFormat="0" applyBorder="0"/>
    <xf numFmtId="0" fontId="13" fillId="7" borderId="0" applyNumberFormat="0" applyBorder="0"/>
    <xf numFmtId="0" fontId="13" fillId="8" borderId="0" applyNumberFormat="0" applyBorder="0"/>
    <xf numFmtId="0" fontId="13" fillId="8" borderId="0" applyNumberFormat="0" applyBorder="0"/>
    <xf numFmtId="0" fontId="13" fillId="8" borderId="0" applyNumberFormat="0" applyBorder="0"/>
    <xf numFmtId="0" fontId="13" fillId="9" borderId="0" applyNumberFormat="0" applyBorder="0"/>
    <xf numFmtId="0" fontId="13" fillId="9" borderId="0" applyNumberFormat="0" applyBorder="0"/>
    <xf numFmtId="0" fontId="13" fillId="9" borderId="0" applyNumberFormat="0" applyBorder="0"/>
    <xf numFmtId="0" fontId="13" fillId="10" borderId="0" applyNumberFormat="0" applyBorder="0"/>
    <xf numFmtId="0" fontId="13" fillId="10" borderId="0" applyNumberFormat="0" applyBorder="0"/>
    <xf numFmtId="0" fontId="13" fillId="10" borderId="0" applyNumberFormat="0" applyBorder="0"/>
    <xf numFmtId="0" fontId="13" fillId="5" borderId="0" applyNumberFormat="0" applyBorder="0"/>
    <xf numFmtId="0" fontId="13" fillId="5" borderId="0" applyNumberFormat="0" applyBorder="0"/>
    <xf numFmtId="0" fontId="13" fillId="5" borderId="0" applyNumberFormat="0" applyBorder="0"/>
    <xf numFmtId="0" fontId="13" fillId="8" borderId="0" applyNumberFormat="0" applyBorder="0"/>
    <xf numFmtId="0" fontId="13" fillId="8" borderId="0" applyNumberFormat="0" applyBorder="0"/>
    <xf numFmtId="0" fontId="13" fillId="8" borderId="0" applyNumberFormat="0" applyBorder="0"/>
    <xf numFmtId="0" fontId="13" fillId="11" borderId="0" applyNumberFormat="0" applyBorder="0"/>
    <xf numFmtId="0" fontId="13" fillId="11" borderId="0" applyNumberFormat="0" applyBorder="0"/>
    <xf numFmtId="0" fontId="13" fillId="11" borderId="0" applyNumberFormat="0" applyBorder="0"/>
    <xf numFmtId="0" fontId="14" fillId="12" borderId="0" applyNumberFormat="0" applyBorder="0"/>
    <xf numFmtId="0" fontId="14" fillId="9" borderId="0" applyNumberFormat="0" applyBorder="0"/>
    <xf numFmtId="0" fontId="14" fillId="10" borderId="0" applyNumberFormat="0" applyBorder="0"/>
    <xf numFmtId="0" fontId="14" fillId="13" borderId="0" applyNumberFormat="0" applyBorder="0"/>
    <xf numFmtId="0" fontId="14" fillId="14" borderId="0" applyNumberFormat="0" applyBorder="0"/>
    <xf numFmtId="0" fontId="14" fillId="15" borderId="0" applyNumberFormat="0" applyBorder="0"/>
    <xf numFmtId="0" fontId="14" fillId="16" borderId="0" applyNumberFormat="0" applyBorder="0"/>
    <xf numFmtId="0" fontId="14" fillId="16" borderId="0" applyNumberFormat="0" applyBorder="0"/>
    <xf numFmtId="0" fontId="14" fillId="17" borderId="0" applyNumberFormat="0" applyBorder="0"/>
    <xf numFmtId="0" fontId="14" fillId="17" borderId="0" applyNumberFormat="0" applyBorder="0"/>
    <xf numFmtId="0" fontId="14" fillId="18" borderId="0" applyNumberFormat="0" applyBorder="0"/>
    <xf numFmtId="0" fontId="14" fillId="18" borderId="0" applyNumberFormat="0" applyBorder="0"/>
    <xf numFmtId="0" fontId="14" fillId="13" borderId="0" applyNumberFormat="0" applyBorder="0"/>
    <xf numFmtId="0" fontId="14" fillId="13" borderId="0" applyNumberFormat="0" applyBorder="0"/>
    <xf numFmtId="0" fontId="14" fillId="14" borderId="0" applyNumberFormat="0" applyBorder="0"/>
    <xf numFmtId="0" fontId="14" fillId="14" borderId="0" applyNumberFormat="0" applyBorder="0"/>
    <xf numFmtId="0" fontId="14" fillId="19" borderId="0" applyNumberFormat="0" applyBorder="0"/>
    <xf numFmtId="0" fontId="14" fillId="19" borderId="0" applyNumberFormat="0" applyBorder="0"/>
    <xf numFmtId="0" fontId="15" fillId="20" borderId="1" applyNumberFormat="0"/>
    <xf numFmtId="0" fontId="16" fillId="21" borderId="2" applyNumberFormat="0"/>
    <xf numFmtId="0" fontId="15" fillId="20" borderId="1" applyNumberFormat="0"/>
    <xf numFmtId="0" fontId="17" fillId="20" borderId="3" applyNumberFormat="0"/>
    <xf numFmtId="0" fontId="17" fillId="20" borderId="3" applyNumberFormat="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0" fontId="18" fillId="7" borderId="3" applyNumberFormat="0"/>
    <xf numFmtId="0" fontId="19" fillId="7" borderId="4" applyNumberFormat="0"/>
    <xf numFmtId="0" fontId="18" fillId="7" borderId="3" applyNumberFormat="0"/>
    <xf numFmtId="0" fontId="18" fillId="7" borderId="3" applyNumberFormat="0"/>
    <xf numFmtId="0" fontId="19" fillId="7" borderId="4" applyNumberFormat="0"/>
    <xf numFmtId="0" fontId="19" fillId="7" borderId="4" applyNumberFormat="0"/>
    <xf numFmtId="0" fontId="19" fillId="7" borderId="4" applyNumberFormat="0"/>
    <xf numFmtId="0" fontId="19" fillId="7" borderId="4" applyNumberFormat="0"/>
    <xf numFmtId="0" fontId="19" fillId="7" borderId="4" applyNumberFormat="0"/>
    <xf numFmtId="0" fontId="19" fillId="7" borderId="4" applyNumberFormat="0"/>
    <xf numFmtId="0" fontId="19" fillId="7" borderId="4" applyNumberFormat="0"/>
    <xf numFmtId="0" fontId="20" fillId="0" borderId="5" applyNumberFormat="0" applyFill="0"/>
    <xf numFmtId="0" fontId="20" fillId="0" borderId="5" applyNumberFormat="0" applyFill="0"/>
    <xf numFmtId="0" fontId="21" fillId="0" borderId="0" applyNumberFormat="0" applyFill="0" applyBorder="0"/>
    <xf numFmtId="0" fontId="21" fillId="0" borderId="0" applyNumberFormat="0" applyFill="0" applyBorder="0"/>
    <xf numFmtId="0" fontId="22" fillId="4" borderId="0" applyNumberFormat="0" applyBorder="0"/>
    <xf numFmtId="0" fontId="22" fillId="4" borderId="0" applyNumberFormat="0" applyBorder="0"/>
    <xf numFmtId="43" fontId="23"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23" fillId="0" borderId="0" applyFont="0" applyFill="0" applyBorder="0"/>
    <xf numFmtId="0" fontId="24" fillId="0" borderId="0" applyNumberFormat="0" applyFill="0" applyBorder="0">
      <alignment vertical="top"/>
    </xf>
    <xf numFmtId="0" fontId="23" fillId="22" borderId="6" applyNumberFormat="0" applyFont="0"/>
    <xf numFmtId="0" fontId="23" fillId="22" borderId="6" applyNumberFormat="0" applyFont="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23" fillId="0" borderId="0" applyFont="0" applyFill="0" applyBorder="0"/>
    <xf numFmtId="0" fontId="25" fillId="2" borderId="0" applyNumberFormat="0" applyBorder="0"/>
    <xf numFmtId="0" fontId="25" fillId="2" borderId="0" applyNumberFormat="0" applyBorder="0"/>
    <xf numFmtId="0" fontId="2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6" fillId="0" borderId="0" applyNumberFormat="0" applyFill="0" applyBorder="0"/>
    <xf numFmtId="0" fontId="27" fillId="0" borderId="7" applyNumberFormat="0" applyFill="0"/>
    <xf numFmtId="0" fontId="27" fillId="0" borderId="7" applyNumberFormat="0" applyFill="0"/>
    <xf numFmtId="0" fontId="28" fillId="0" borderId="8" applyNumberFormat="0" applyFill="0"/>
    <xf numFmtId="0" fontId="28" fillId="0" borderId="8" applyNumberFormat="0" applyFill="0"/>
    <xf numFmtId="0" fontId="29" fillId="0" borderId="9" applyNumberFormat="0" applyFill="0"/>
    <xf numFmtId="0" fontId="29" fillId="0" borderId="9" applyNumberFormat="0" applyFill="0"/>
    <xf numFmtId="0" fontId="29" fillId="0" borderId="0" applyNumberFormat="0" applyFill="0" applyBorder="0"/>
    <xf numFmtId="0" fontId="29" fillId="0" borderId="0" applyNumberFormat="0" applyFill="0" applyBorder="0"/>
    <xf numFmtId="0" fontId="26" fillId="0" borderId="0" applyNumberFormat="0" applyFill="0" applyBorder="0"/>
    <xf numFmtId="0" fontId="30" fillId="0" borderId="10" applyNumberFormat="0" applyFill="0"/>
    <xf numFmtId="0" fontId="30" fillId="0" borderId="10" applyNumberFormat="0" applyFill="0"/>
    <xf numFmtId="0" fontId="31" fillId="0" borderId="0" applyNumberFormat="0" applyFill="0" applyBorder="0"/>
    <xf numFmtId="0" fontId="31" fillId="0" borderId="0" applyNumberFormat="0" applyFill="0" applyBorder="0"/>
    <xf numFmtId="0" fontId="32" fillId="23" borderId="11" applyNumberFormat="0"/>
    <xf numFmtId="0" fontId="32" fillId="23" borderId="11" applyNumberFormat="0"/>
    <xf numFmtId="0" fontId="71" fillId="0" borderId="0"/>
    <xf numFmtId="0" fontId="11" fillId="0" borderId="0"/>
    <xf numFmtId="0" fontId="11" fillId="0" borderId="0"/>
    <xf numFmtId="0" fontId="10" fillId="0" borderId="0"/>
    <xf numFmtId="0" fontId="19" fillId="41" borderId="4" applyNumberFormat="0" applyAlignment="0" applyProtection="0"/>
    <xf numFmtId="0" fontId="10" fillId="0" borderId="0"/>
    <xf numFmtId="0" fontId="79" fillId="42" borderId="0" applyNumberFormat="0" applyBorder="0" applyAlignment="0" applyProtection="0"/>
    <xf numFmtId="0" fontId="10" fillId="0" borderId="0"/>
    <xf numFmtId="0" fontId="10" fillId="0" borderId="0"/>
    <xf numFmtId="0" fontId="10" fillId="0" borderId="0"/>
    <xf numFmtId="0" fontId="10" fillId="0" borderId="0"/>
    <xf numFmtId="0" fontId="18" fillId="39" borderId="3" applyNumberFormat="0" applyAlignment="0" applyProtection="0"/>
    <xf numFmtId="0" fontId="8" fillId="0" borderId="0"/>
    <xf numFmtId="0" fontId="8" fillId="0" borderId="0"/>
    <xf numFmtId="0" fontId="8" fillId="0" borderId="0"/>
    <xf numFmtId="9" fontId="87" fillId="0" borderId="0" applyFont="0" applyFill="0" applyBorder="0" applyAlignment="0" applyProtection="0"/>
    <xf numFmtId="0" fontId="7" fillId="0" borderId="0"/>
    <xf numFmtId="0" fontId="70" fillId="0" borderId="0"/>
    <xf numFmtId="0" fontId="96" fillId="0" borderId="0"/>
    <xf numFmtId="0" fontId="98" fillId="0" borderId="0"/>
    <xf numFmtId="0" fontId="96" fillId="0" borderId="0"/>
    <xf numFmtId="0" fontId="98" fillId="0" borderId="0"/>
    <xf numFmtId="0" fontId="103" fillId="7" borderId="4" applyNumberFormat="0"/>
    <xf numFmtId="0" fontId="109" fillId="0" borderId="0"/>
    <xf numFmtId="0" fontId="70" fillId="0" borderId="0"/>
    <xf numFmtId="0" fontId="4" fillId="0" borderId="0"/>
    <xf numFmtId="0" fontId="24" fillId="0" borderId="0" applyNumberFormat="0" applyFill="0" applyBorder="0">
      <alignment vertical="top"/>
    </xf>
    <xf numFmtId="0" fontId="3" fillId="0" borderId="0"/>
    <xf numFmtId="0" fontId="23" fillId="0" borderId="0"/>
    <xf numFmtId="0" fontId="18" fillId="7" borderId="113" applyNumberFormat="0"/>
    <xf numFmtId="0" fontId="110" fillId="0" borderId="0"/>
    <xf numFmtId="0" fontId="111" fillId="0" borderId="0" applyNumberFormat="0" applyFill="0" applyBorder="0" applyAlignment="0" applyProtection="0">
      <alignment vertical="top"/>
      <protection locked="0"/>
    </xf>
    <xf numFmtId="0" fontId="18" fillId="39" borderId="124" applyNumberFormat="0" applyAlignment="0" applyProtection="0"/>
    <xf numFmtId="0" fontId="110" fillId="0" borderId="0"/>
    <xf numFmtId="0" fontId="114" fillId="0" borderId="0"/>
    <xf numFmtId="0" fontId="110" fillId="0" borderId="0"/>
    <xf numFmtId="0" fontId="114" fillId="0" borderId="0"/>
    <xf numFmtId="0" fontId="115" fillId="7" borderId="4" applyNumberFormat="0"/>
    <xf numFmtId="0" fontId="2" fillId="0" borderId="0"/>
    <xf numFmtId="0" fontId="18" fillId="7" borderId="124" applyNumberFormat="0"/>
    <xf numFmtId="0" fontId="1" fillId="0" borderId="0"/>
    <xf numFmtId="0" fontId="1" fillId="0" borderId="0"/>
    <xf numFmtId="0" fontId="1" fillId="0" borderId="0"/>
    <xf numFmtId="0" fontId="1" fillId="0" borderId="0"/>
    <xf numFmtId="0" fontId="1" fillId="0" borderId="0"/>
  </cellStyleXfs>
  <cellXfs count="1650">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23" fillId="0" borderId="0" xfId="0" applyFont="1" applyAlignment="1">
      <alignment horizontal="center" vertical="center"/>
    </xf>
    <xf numFmtId="164" fontId="23" fillId="0" borderId="0" xfId="0" applyNumberFormat="1" applyFont="1" applyAlignment="1">
      <alignment horizontal="center" vertical="center"/>
    </xf>
    <xf numFmtId="0" fontId="38" fillId="0" borderId="0" xfId="0" applyFont="1" applyAlignment="1">
      <alignment horizontal="left" vertical="center"/>
    </xf>
    <xf numFmtId="0" fontId="39" fillId="0" borderId="0" xfId="0" applyFont="1" applyAlignment="1">
      <alignment horizontal="right" vertical="top"/>
    </xf>
    <xf numFmtId="0" fontId="40" fillId="0" borderId="0" xfId="0" applyFont="1" applyAlignment="1">
      <alignment horizontal="right" vertical="top"/>
    </xf>
    <xf numFmtId="14" fontId="0" fillId="0" borderId="0" xfId="0" applyNumberFormat="1" applyAlignment="1">
      <alignment textRotation="90" wrapText="1"/>
    </xf>
    <xf numFmtId="0" fontId="34" fillId="0" borderId="0" xfId="0" applyFont="1" applyAlignment="1">
      <alignment horizontal="center" vertical="center"/>
    </xf>
    <xf numFmtId="0" fontId="38" fillId="0" borderId="0" xfId="0" applyFont="1" applyAlignment="1">
      <alignment textRotation="90" wrapText="1"/>
    </xf>
    <xf numFmtId="0" fontId="23" fillId="0" borderId="0" xfId="0" applyFont="1" applyAlignment="1">
      <alignment horizontal="left" vertical="center"/>
    </xf>
    <xf numFmtId="0" fontId="0" fillId="0" borderId="0" xfId="0" applyAlignment="1">
      <alignment textRotation="90" wrapText="1"/>
    </xf>
    <xf numFmtId="0" fontId="0" fillId="0" borderId="0" xfId="0" applyAlignment="1">
      <alignment wrapText="1"/>
    </xf>
    <xf numFmtId="0" fontId="34" fillId="0" borderId="14" xfId="0" applyFont="1" applyBorder="1" applyAlignment="1">
      <alignment vertical="center" wrapText="1"/>
    </xf>
    <xf numFmtId="0" fontId="34" fillId="0" borderId="0" xfId="0" applyFont="1" applyAlignment="1">
      <alignment vertical="center"/>
    </xf>
    <xf numFmtId="0" fontId="0" fillId="0" borderId="24" xfId="0" applyBorder="1" applyAlignment="1">
      <alignment vertical="center" wrapText="1"/>
    </xf>
    <xf numFmtId="0" fontId="0" fillId="0" borderId="26" xfId="0" applyBorder="1" applyAlignment="1">
      <alignment vertical="center" wrapText="1"/>
    </xf>
    <xf numFmtId="0" fontId="23" fillId="0" borderId="0" xfId="0" applyFont="1" applyAlignment="1">
      <alignment vertical="center"/>
    </xf>
    <xf numFmtId="0" fontId="38" fillId="0" borderId="13" xfId="0" applyFont="1" applyBorder="1" applyAlignment="1">
      <alignment horizontal="center" vertical="center" wrapText="1"/>
    </xf>
    <xf numFmtId="0" fontId="38" fillId="0" borderId="33" xfId="0" applyFont="1" applyBorder="1" applyAlignment="1">
      <alignment horizontal="center" vertical="center" wrapText="1"/>
    </xf>
    <xf numFmtId="0" fontId="43" fillId="0" borderId="0" xfId="0" applyFont="1" applyAlignment="1">
      <alignment horizontal="center" vertical="center"/>
    </xf>
    <xf numFmtId="0" fontId="43" fillId="0" borderId="0" xfId="0" applyFont="1" applyAlignment="1">
      <alignment horizontal="center" vertical="center" wrapText="1"/>
    </xf>
    <xf numFmtId="1" fontId="34" fillId="24" borderId="38" xfId="203" applyNumberFormat="1" applyFont="1" applyFill="1" applyBorder="1" applyAlignment="1">
      <alignment horizontal="center" vertical="center"/>
    </xf>
    <xf numFmtId="0" fontId="43" fillId="0" borderId="29" xfId="0" applyFont="1" applyBorder="1" applyAlignment="1">
      <alignment horizontal="center" vertical="center"/>
    </xf>
    <xf numFmtId="164" fontId="23" fillId="0" borderId="37" xfId="0" applyNumberFormat="1" applyFont="1" applyBorder="1" applyAlignment="1">
      <alignment horizontal="center" vertical="center"/>
    </xf>
    <xf numFmtId="1" fontId="36" fillId="28" borderId="40" xfId="0" applyNumberFormat="1" applyFont="1" applyFill="1" applyBorder="1" applyAlignment="1">
      <alignment horizontal="center" vertical="center" wrapText="1"/>
    </xf>
    <xf numFmtId="0" fontId="23" fillId="0" borderId="0" xfId="0" applyFont="1" applyAlignment="1">
      <alignment vertical="center" wrapText="1"/>
    </xf>
    <xf numFmtId="1" fontId="36" fillId="25" borderId="40" xfId="0" applyNumberFormat="1" applyFont="1" applyFill="1" applyBorder="1" applyAlignment="1">
      <alignment horizontal="center" vertical="center" wrapText="1"/>
    </xf>
    <xf numFmtId="14" fontId="42" fillId="0" borderId="0" xfId="0" applyNumberFormat="1" applyFont="1" applyAlignment="1">
      <alignment vertical="center"/>
    </xf>
    <xf numFmtId="0" fontId="23" fillId="0" borderId="44" xfId="0" applyFont="1" applyBorder="1" applyAlignment="1">
      <alignment vertical="center"/>
    </xf>
    <xf numFmtId="0" fontId="23" fillId="0" borderId="37" xfId="0" applyFont="1" applyBorder="1" applyAlignment="1">
      <alignment vertical="center" wrapText="1"/>
    </xf>
    <xf numFmtId="0" fontId="42" fillId="0" borderId="0" xfId="0" applyFont="1" applyAlignment="1">
      <alignment vertical="center" wrapText="1"/>
    </xf>
    <xf numFmtId="0" fontId="46" fillId="0" borderId="0" xfId="0" applyFont="1" applyAlignment="1">
      <alignment vertical="center" wrapText="1"/>
    </xf>
    <xf numFmtId="0" fontId="23" fillId="0" borderId="0" xfId="0" applyFont="1" applyAlignment="1">
      <alignment horizontal="center" vertical="center" wrapText="1"/>
    </xf>
    <xf numFmtId="0" fontId="0" fillId="0" borderId="44" xfId="0" applyBorder="1" applyAlignment="1">
      <alignment vertical="center"/>
    </xf>
    <xf numFmtId="0" fontId="43" fillId="0" borderId="0" xfId="0" applyFont="1" applyAlignment="1">
      <alignment vertical="center"/>
    </xf>
    <xf numFmtId="0" fontId="35" fillId="0" borderId="0" xfId="0" applyFont="1" applyAlignment="1">
      <alignment vertical="center" wrapText="1"/>
    </xf>
    <xf numFmtId="0" fontId="43" fillId="0" borderId="0" xfId="0" applyFont="1" applyAlignment="1">
      <alignment vertical="center" wrapText="1"/>
    </xf>
    <xf numFmtId="0" fontId="43" fillId="0" borderId="37" xfId="0" applyFont="1" applyBorder="1" applyAlignment="1">
      <alignment vertical="center" wrapText="1"/>
    </xf>
    <xf numFmtId="0" fontId="43" fillId="0" borderId="44" xfId="0" applyFont="1" applyBorder="1" applyAlignment="1">
      <alignment vertical="center"/>
    </xf>
    <xf numFmtId="0" fontId="35" fillId="0" borderId="0" xfId="0" applyFont="1" applyAlignment="1">
      <alignment vertical="center"/>
    </xf>
    <xf numFmtId="0" fontId="35" fillId="0" borderId="37" xfId="0" applyFont="1" applyBorder="1" applyAlignment="1">
      <alignment vertical="center" wrapText="1"/>
    </xf>
    <xf numFmtId="0" fontId="35" fillId="0" borderId="44" xfId="0" applyFont="1" applyBorder="1" applyAlignment="1">
      <alignment vertical="center"/>
    </xf>
    <xf numFmtId="1" fontId="44" fillId="28" borderId="55" xfId="0" applyNumberFormat="1" applyFont="1" applyFill="1" applyBorder="1" applyAlignment="1">
      <alignment horizontal="center" vertical="center" wrapText="1"/>
    </xf>
    <xf numFmtId="0" fontId="0" fillId="0" borderId="37" xfId="0" applyBorder="1" applyAlignment="1">
      <alignment vertical="center" wrapText="1"/>
    </xf>
    <xf numFmtId="0" fontId="49" fillId="0" borderId="0" xfId="0" applyFont="1" applyAlignment="1">
      <alignment vertical="center"/>
    </xf>
    <xf numFmtId="0" fontId="49" fillId="0" borderId="0" xfId="0" applyFont="1" applyAlignment="1">
      <alignment vertical="center" wrapText="1"/>
    </xf>
    <xf numFmtId="0" fontId="49" fillId="0" borderId="37" xfId="0" applyFont="1" applyBorder="1" applyAlignment="1">
      <alignment vertical="center" wrapText="1"/>
    </xf>
    <xf numFmtId="0" fontId="49" fillId="0" borderId="44" xfId="0" applyFont="1" applyBorder="1" applyAlignment="1">
      <alignment vertical="center"/>
    </xf>
    <xf numFmtId="1" fontId="47" fillId="32" borderId="53" xfId="0" applyNumberFormat="1" applyFont="1" applyFill="1" applyBorder="1" applyAlignment="1">
      <alignment horizontal="center" vertical="center" wrapText="1"/>
    </xf>
    <xf numFmtId="1" fontId="36" fillId="28" borderId="54" xfId="0" applyNumberFormat="1" applyFont="1" applyFill="1" applyBorder="1" applyAlignment="1">
      <alignment horizontal="center" vertical="center" wrapText="1"/>
    </xf>
    <xf numFmtId="1" fontId="44" fillId="28" borderId="42" xfId="0" applyNumberFormat="1" applyFont="1" applyFill="1" applyBorder="1" applyAlignment="1">
      <alignment horizontal="center" vertical="center" wrapText="1"/>
    </xf>
    <xf numFmtId="1" fontId="44" fillId="0" borderId="0" xfId="0" applyNumberFormat="1" applyFont="1" applyAlignment="1">
      <alignment horizontal="center" vertical="center" wrapText="1"/>
    </xf>
    <xf numFmtId="1" fontId="47" fillId="34" borderId="38" xfId="0" applyNumberFormat="1" applyFont="1" applyFill="1" applyBorder="1" applyAlignment="1">
      <alignment horizontal="center" vertical="center" wrapText="1"/>
    </xf>
    <xf numFmtId="1" fontId="44" fillId="28" borderId="61" xfId="0" applyNumberFormat="1" applyFont="1" applyFill="1" applyBorder="1" applyAlignment="1">
      <alignment horizontal="center" vertical="center" wrapText="1"/>
    </xf>
    <xf numFmtId="1" fontId="44" fillId="28" borderId="64" xfId="0" applyNumberFormat="1" applyFont="1" applyFill="1" applyBorder="1" applyAlignment="1">
      <alignment horizontal="center" vertical="center" wrapText="1"/>
    </xf>
    <xf numFmtId="0" fontId="0" fillId="0" borderId="39" xfId="0" applyBorder="1" applyAlignment="1">
      <alignment vertical="center"/>
    </xf>
    <xf numFmtId="3" fontId="36" fillId="0" borderId="12" xfId="0" applyNumberFormat="1" applyFont="1" applyBorder="1" applyAlignment="1">
      <alignment horizontal="center" vertical="center"/>
    </xf>
    <xf numFmtId="0" fontId="51" fillId="0" borderId="0" xfId="0" applyFont="1" applyAlignment="1">
      <alignment vertical="center" wrapText="1"/>
    </xf>
    <xf numFmtId="0" fontId="12" fillId="0" borderId="0" xfId="288"/>
    <xf numFmtId="0" fontId="61" fillId="33" borderId="13" xfId="288" applyFont="1" applyFill="1" applyBorder="1"/>
    <xf numFmtId="0" fontId="12" fillId="0" borderId="13" xfId="288" applyBorder="1"/>
    <xf numFmtId="168" fontId="12" fillId="0" borderId="13" xfId="288" applyNumberFormat="1" applyBorder="1"/>
    <xf numFmtId="0" fontId="54" fillId="0" borderId="0" xfId="208" applyFont="1"/>
    <xf numFmtId="0" fontId="59" fillId="0" borderId="34" xfId="208" applyFont="1" applyBorder="1"/>
    <xf numFmtId="0" fontId="12" fillId="0" borderId="0" xfId="208"/>
    <xf numFmtId="0" fontId="59" fillId="0" borderId="88" xfId="208" applyFont="1" applyBorder="1"/>
    <xf numFmtId="1" fontId="36" fillId="25" borderId="54" xfId="0" applyNumberFormat="1" applyFont="1" applyFill="1" applyBorder="1" applyAlignment="1">
      <alignment horizontal="center" vertical="center" wrapText="1"/>
    </xf>
    <xf numFmtId="0" fontId="36" fillId="25" borderId="70" xfId="0" applyFont="1" applyFill="1" applyBorder="1" applyAlignment="1">
      <alignment horizontal="center" vertical="center" wrapText="1"/>
    </xf>
    <xf numFmtId="169" fontId="12" fillId="0" borderId="13" xfId="288" applyNumberFormat="1" applyBorder="1"/>
    <xf numFmtId="0" fontId="71" fillId="0" borderId="0" xfId="348"/>
    <xf numFmtId="0" fontId="71" fillId="0" borderId="0" xfId="348" applyAlignment="1">
      <alignment vertical="center"/>
    </xf>
    <xf numFmtId="0" fontId="76" fillId="0" borderId="0" xfId="348" applyFont="1" applyAlignment="1">
      <alignment vertical="center"/>
    </xf>
    <xf numFmtId="0" fontId="71" fillId="0" borderId="0" xfId="348" applyAlignment="1">
      <alignment horizontal="center" vertical="center"/>
    </xf>
    <xf numFmtId="0" fontId="71" fillId="0" borderId="0" xfId="348" applyProtection="1">
      <protection locked="0"/>
    </xf>
    <xf numFmtId="166" fontId="54" fillId="0" borderId="0" xfId="208" applyNumberFormat="1" applyFont="1"/>
    <xf numFmtId="0" fontId="54" fillId="40" borderId="0" xfId="208" applyFont="1" applyFill="1"/>
    <xf numFmtId="0" fontId="54" fillId="40" borderId="13" xfId="208" applyFont="1" applyFill="1" applyBorder="1" applyAlignment="1">
      <alignment horizontal="center" vertical="center"/>
    </xf>
    <xf numFmtId="0" fontId="54" fillId="40" borderId="0" xfId="208" applyFont="1" applyFill="1" applyAlignment="1">
      <alignment horizontal="center" vertical="center"/>
    </xf>
    <xf numFmtId="166" fontId="54" fillId="40" borderId="13" xfId="208" applyNumberFormat="1" applyFont="1" applyFill="1" applyBorder="1"/>
    <xf numFmtId="166" fontId="54" fillId="40" borderId="0" xfId="208" applyNumberFormat="1" applyFont="1" applyFill="1"/>
    <xf numFmtId="0" fontId="59" fillId="40" borderId="0" xfId="209" applyFont="1" applyFill="1"/>
    <xf numFmtId="0" fontId="54" fillId="40" borderId="0" xfId="209" applyFont="1" applyFill="1"/>
    <xf numFmtId="166" fontId="54" fillId="40" borderId="0" xfId="209" applyNumberFormat="1" applyFont="1" applyFill="1"/>
    <xf numFmtId="0" fontId="54" fillId="40" borderId="58" xfId="208" applyFont="1" applyFill="1" applyBorder="1"/>
    <xf numFmtId="0" fontId="54" fillId="28" borderId="36" xfId="208" applyFont="1" applyFill="1" applyBorder="1"/>
    <xf numFmtId="0" fontId="54" fillId="28" borderId="0" xfId="208" applyFont="1" applyFill="1"/>
    <xf numFmtId="0" fontId="59" fillId="28" borderId="0" xfId="208" applyFont="1" applyFill="1" applyAlignment="1">
      <alignment horizontal="center"/>
    </xf>
    <xf numFmtId="0" fontId="59" fillId="28" borderId="0" xfId="208" applyFont="1" applyFill="1"/>
    <xf numFmtId="0" fontId="65" fillId="28" borderId="0" xfId="208" applyFont="1" applyFill="1"/>
    <xf numFmtId="0" fontId="54" fillId="28" borderId="13" xfId="208" applyFont="1" applyFill="1" applyBorder="1" applyAlignment="1">
      <alignment horizontal="center" vertical="center"/>
    </xf>
    <xf numFmtId="0" fontId="54" fillId="28" borderId="0" xfId="208" applyFont="1" applyFill="1" applyAlignment="1">
      <alignment horizontal="center" vertical="center"/>
    </xf>
    <xf numFmtId="166" fontId="54" fillId="28" borderId="13" xfId="208" applyNumberFormat="1" applyFont="1" applyFill="1" applyBorder="1"/>
    <xf numFmtId="166" fontId="54" fillId="28" borderId="0" xfId="208" applyNumberFormat="1" applyFont="1" applyFill="1"/>
    <xf numFmtId="0" fontId="74" fillId="0" borderId="0" xfId="348" applyFont="1" applyAlignment="1">
      <alignment horizontal="left" vertical="top" wrapText="1"/>
    </xf>
    <xf numFmtId="0" fontId="23" fillId="0" borderId="0" xfId="203"/>
    <xf numFmtId="0" fontId="36" fillId="0" borderId="0" xfId="203" applyFont="1" applyAlignment="1">
      <alignment horizontal="center"/>
    </xf>
    <xf numFmtId="0" fontId="36" fillId="0" borderId="0" xfId="203" applyFont="1" applyAlignment="1">
      <alignment horizontal="center" vertical="center"/>
    </xf>
    <xf numFmtId="0" fontId="23" fillId="0" borderId="0" xfId="203" applyAlignment="1">
      <alignment vertical="center"/>
    </xf>
    <xf numFmtId="0" fontId="35" fillId="0" borderId="0" xfId="203" applyFont="1" applyAlignment="1">
      <alignment vertical="center"/>
    </xf>
    <xf numFmtId="0" fontId="23" fillId="0" borderId="0" xfId="203" applyAlignment="1">
      <alignment horizontal="center" vertical="center" wrapText="1"/>
    </xf>
    <xf numFmtId="0" fontId="23" fillId="0" borderId="17" xfId="203" applyBorder="1"/>
    <xf numFmtId="0" fontId="23" fillId="0" borderId="0" xfId="203" applyAlignment="1" applyProtection="1">
      <alignment vertical="center"/>
      <protection locked="0"/>
    </xf>
    <xf numFmtId="0" fontId="54" fillId="0" borderId="0" xfId="288" applyFont="1"/>
    <xf numFmtId="0" fontId="54" fillId="0" borderId="49" xfId="288" applyFont="1" applyBorder="1"/>
    <xf numFmtId="0" fontId="12" fillId="0" borderId="49" xfId="288" applyBorder="1"/>
    <xf numFmtId="0" fontId="54" fillId="0" borderId="37" xfId="288" applyFont="1" applyBorder="1"/>
    <xf numFmtId="0" fontId="38" fillId="25" borderId="13" xfId="0" applyFont="1" applyFill="1" applyBorder="1" applyAlignment="1" applyProtection="1">
      <alignment horizontal="center" vertical="center"/>
      <protection locked="0"/>
    </xf>
    <xf numFmtId="167" fontId="23" fillId="25" borderId="13" xfId="111" applyNumberFormat="1" applyFont="1" applyFill="1" applyBorder="1" applyAlignment="1" applyProtection="1">
      <alignment horizontal="center" vertical="center"/>
      <protection locked="0"/>
    </xf>
    <xf numFmtId="0" fontId="23" fillId="0" borderId="0" xfId="203" applyAlignment="1">
      <alignment horizontal="left" vertical="center" wrapText="1"/>
    </xf>
    <xf numFmtId="0" fontId="23" fillId="0" borderId="13" xfId="203" applyBorder="1" applyAlignment="1" applyProtection="1">
      <alignment horizontal="center" vertical="center" wrapText="1"/>
      <protection locked="0"/>
    </xf>
    <xf numFmtId="0" fontId="53" fillId="0" borderId="0" xfId="203" applyFont="1" applyAlignment="1">
      <alignment vertical="center"/>
    </xf>
    <xf numFmtId="0" fontId="54" fillId="0" borderId="0" xfId="349" applyFont="1" applyAlignment="1">
      <alignment vertical="center"/>
    </xf>
    <xf numFmtId="0" fontId="53" fillId="0" borderId="49" xfId="203" applyFont="1" applyBorder="1" applyAlignment="1">
      <alignment horizontal="center" vertical="center"/>
    </xf>
    <xf numFmtId="0" fontId="53" fillId="0" borderId="49" xfId="203" applyFont="1" applyBorder="1" applyAlignment="1">
      <alignment vertical="center"/>
    </xf>
    <xf numFmtId="0" fontId="53" fillId="0" borderId="0" xfId="203" applyFont="1" applyAlignment="1">
      <alignment horizontal="center" vertical="center"/>
    </xf>
    <xf numFmtId="0" fontId="54" fillId="0" borderId="59" xfId="349" applyFont="1" applyBorder="1" applyAlignment="1">
      <alignment vertical="center"/>
    </xf>
    <xf numFmtId="0" fontId="0" fillId="0" borderId="38" xfId="349" applyFont="1" applyBorder="1" applyAlignment="1">
      <alignment vertical="center"/>
    </xf>
    <xf numFmtId="0" fontId="70" fillId="0" borderId="95" xfId="349" applyFont="1" applyBorder="1" applyAlignment="1">
      <alignment vertical="center"/>
    </xf>
    <xf numFmtId="0" fontId="70" fillId="0" borderId="40" xfId="349" applyFont="1" applyBorder="1" applyAlignment="1">
      <alignment vertical="center"/>
    </xf>
    <xf numFmtId="0" fontId="0" fillId="0" borderId="0" xfId="349" applyFont="1" applyAlignment="1">
      <alignment vertical="center"/>
    </xf>
    <xf numFmtId="0" fontId="23" fillId="25" borderId="13" xfId="98" applyFont="1" applyFill="1" applyBorder="1" applyAlignment="1">
      <alignment horizontal="right" vertical="center"/>
    </xf>
    <xf numFmtId="0" fontId="0" fillId="0" borderId="45" xfId="349" applyFont="1" applyBorder="1" applyAlignment="1">
      <alignment horizontal="left" vertical="center" wrapText="1"/>
    </xf>
    <xf numFmtId="0" fontId="70" fillId="0" borderId="39" xfId="349" applyFont="1" applyBorder="1" applyAlignment="1">
      <alignment vertical="center"/>
    </xf>
    <xf numFmtId="0" fontId="0" fillId="0" borderId="40" xfId="349" applyFont="1" applyBorder="1" applyAlignment="1">
      <alignment vertical="center"/>
    </xf>
    <xf numFmtId="0" fontId="11" fillId="0" borderId="45" xfId="349" applyBorder="1"/>
    <xf numFmtId="0" fontId="70" fillId="0" borderId="77" xfId="349" applyFont="1" applyBorder="1" applyAlignment="1">
      <alignment vertical="center"/>
    </xf>
    <xf numFmtId="0" fontId="0" fillId="0" borderId="75" xfId="349" applyFont="1" applyBorder="1" applyAlignment="1">
      <alignment vertical="center"/>
    </xf>
    <xf numFmtId="0" fontId="0" fillId="0" borderId="43" xfId="349" applyFont="1" applyBorder="1" applyAlignment="1">
      <alignment horizontal="left" vertical="center" wrapText="1"/>
    </xf>
    <xf numFmtId="0" fontId="70" fillId="0" borderId="80" xfId="349" applyFont="1" applyBorder="1" applyAlignment="1">
      <alignment vertical="center"/>
    </xf>
    <xf numFmtId="0" fontId="70" fillId="0" borderId="0" xfId="98" applyFont="1" applyFill="1" applyBorder="1" applyAlignment="1">
      <alignment vertical="center"/>
    </xf>
    <xf numFmtId="0" fontId="70" fillId="0" borderId="65" xfId="349" applyFont="1" applyBorder="1" applyAlignment="1">
      <alignment horizontal="left" vertical="center" wrapText="1"/>
    </xf>
    <xf numFmtId="0" fontId="54" fillId="0" borderId="80" xfId="349" applyFont="1" applyBorder="1" applyAlignment="1">
      <alignment vertical="center"/>
    </xf>
    <xf numFmtId="0" fontId="54" fillId="0" borderId="37" xfId="349" applyFont="1" applyBorder="1" applyAlignment="1">
      <alignment vertical="center"/>
    </xf>
    <xf numFmtId="166" fontId="23" fillId="28" borderId="13" xfId="350" applyNumberFormat="1" applyFont="1" applyFill="1" applyBorder="1" applyAlignment="1">
      <alignment horizontal="right" vertical="center"/>
    </xf>
    <xf numFmtId="0" fontId="58" fillId="0" borderId="0" xfId="349" applyFont="1" applyAlignment="1">
      <alignment vertical="center"/>
    </xf>
    <xf numFmtId="0" fontId="56" fillId="28" borderId="18" xfId="349" applyFont="1" applyFill="1" applyBorder="1" applyAlignment="1">
      <alignment vertical="center"/>
    </xf>
    <xf numFmtId="1" fontId="36" fillId="28" borderId="12" xfId="350" applyNumberFormat="1" applyFont="1" applyFill="1" applyBorder="1" applyAlignment="1">
      <alignment horizontal="center" vertical="center"/>
    </xf>
    <xf numFmtId="0" fontId="66" fillId="0" borderId="82" xfId="349" applyFont="1" applyBorder="1" applyAlignment="1">
      <alignment vertical="center"/>
    </xf>
    <xf numFmtId="0" fontId="58" fillId="0" borderId="37" xfId="349" applyFont="1" applyBorder="1" applyAlignment="1">
      <alignment vertical="center"/>
    </xf>
    <xf numFmtId="0" fontId="56" fillId="28" borderId="97" xfId="349" applyFont="1" applyFill="1" applyBorder="1" applyAlignment="1">
      <alignment vertical="center"/>
    </xf>
    <xf numFmtId="0" fontId="56" fillId="28" borderId="14" xfId="349" applyFont="1" applyFill="1" applyBorder="1" applyAlignment="1">
      <alignment vertical="center"/>
    </xf>
    <xf numFmtId="0" fontId="54" fillId="0" borderId="0" xfId="349" applyFont="1"/>
    <xf numFmtId="0" fontId="0" fillId="0" borderId="37" xfId="349" applyFont="1" applyBorder="1" applyAlignment="1">
      <alignment vertical="center"/>
    </xf>
    <xf numFmtId="0" fontId="0" fillId="0" borderId="41" xfId="349" applyFont="1" applyBorder="1" applyAlignment="1">
      <alignment horizontal="center" vertical="center"/>
    </xf>
    <xf numFmtId="0" fontId="56" fillId="0" borderId="34" xfId="349" applyFont="1" applyBorder="1" applyAlignment="1">
      <alignment vertical="center"/>
    </xf>
    <xf numFmtId="0" fontId="56" fillId="0" borderId="35" xfId="349" applyFont="1" applyBorder="1" applyAlignment="1">
      <alignment horizontal="center" vertical="center"/>
    </xf>
    <xf numFmtId="0" fontId="56" fillId="0" borderId="36" xfId="349" applyFont="1" applyBorder="1" applyAlignment="1">
      <alignment horizontal="center" vertical="center"/>
    </xf>
    <xf numFmtId="0" fontId="56" fillId="0" borderId="39" xfId="349" applyFont="1" applyBorder="1" applyAlignment="1">
      <alignment vertical="center"/>
    </xf>
    <xf numFmtId="1" fontId="36" fillId="0" borderId="13" xfId="350" applyNumberFormat="1" applyFont="1" applyBorder="1" applyAlignment="1">
      <alignment horizontal="center" vertical="center"/>
    </xf>
    <xf numFmtId="0" fontId="58" fillId="0" borderId="40" xfId="349" applyFont="1" applyBorder="1" applyAlignment="1">
      <alignment horizontal="center" vertical="center"/>
    </xf>
    <xf numFmtId="0" fontId="54" fillId="0" borderId="0" xfId="349" applyFont="1" applyAlignment="1">
      <alignment horizontal="left"/>
    </xf>
    <xf numFmtId="0" fontId="56" fillId="0" borderId="46" xfId="349" applyFont="1" applyBorder="1" applyAlignment="1">
      <alignment vertical="center"/>
    </xf>
    <xf numFmtId="1" fontId="36" fillId="0" borderId="47" xfId="350" applyNumberFormat="1" applyFont="1" applyBorder="1" applyAlignment="1">
      <alignment horizontal="center" vertical="center"/>
    </xf>
    <xf numFmtId="0" fontId="58" fillId="0" borderId="48" xfId="349" applyFont="1" applyBorder="1" applyAlignment="1">
      <alignment horizontal="center" vertical="center"/>
    </xf>
    <xf numFmtId="0" fontId="54" fillId="0" borderId="98" xfId="349" applyFont="1" applyBorder="1"/>
    <xf numFmtId="0" fontId="59" fillId="0" borderId="99" xfId="349" applyFont="1" applyBorder="1" applyAlignment="1">
      <alignment horizontal="center"/>
    </xf>
    <xf numFmtId="0" fontId="36" fillId="0" borderId="0" xfId="203" applyFont="1" applyAlignment="1">
      <alignment horizontal="right" vertical="center"/>
    </xf>
    <xf numFmtId="0" fontId="36" fillId="0" borderId="0" xfId="203" applyFont="1" applyAlignment="1">
      <alignment horizontal="left"/>
    </xf>
    <xf numFmtId="0" fontId="23" fillId="0" borderId="0" xfId="203" applyAlignment="1">
      <alignment horizontal="left"/>
    </xf>
    <xf numFmtId="0" fontId="23" fillId="0" borderId="67" xfId="203" applyBorder="1" applyAlignment="1">
      <alignment horizontal="center" vertical="center" wrapText="1"/>
    </xf>
    <xf numFmtId="0" fontId="35" fillId="0" borderId="0" xfId="203" applyFont="1"/>
    <xf numFmtId="0" fontId="36" fillId="0" borderId="49" xfId="203" applyFont="1" applyBorder="1" applyAlignment="1">
      <alignment horizontal="center"/>
    </xf>
    <xf numFmtId="0" fontId="23" fillId="0" borderId="0" xfId="203" applyAlignment="1">
      <alignment horizontal="left" wrapText="1"/>
    </xf>
    <xf numFmtId="0" fontId="38" fillId="38" borderId="66" xfId="203" applyFont="1" applyFill="1" applyBorder="1" applyAlignment="1">
      <alignment horizontal="center" vertical="center"/>
    </xf>
    <xf numFmtId="0" fontId="36" fillId="28" borderId="84" xfId="203" applyFont="1" applyFill="1" applyBorder="1" applyAlignment="1">
      <alignment vertical="center"/>
    </xf>
    <xf numFmtId="1" fontId="36" fillId="28" borderId="64" xfId="203" applyNumberFormat="1" applyFont="1" applyFill="1" applyBorder="1" applyAlignment="1">
      <alignment horizontal="center" vertical="center"/>
    </xf>
    <xf numFmtId="0" fontId="35" fillId="0" borderId="73" xfId="203" applyFont="1" applyBorder="1" applyAlignment="1">
      <alignment vertical="center"/>
    </xf>
    <xf numFmtId="0" fontId="23" fillId="0" borderId="0" xfId="0" applyFont="1"/>
    <xf numFmtId="0" fontId="35" fillId="0" borderId="13" xfId="0" applyFont="1" applyBorder="1"/>
    <xf numFmtId="0" fontId="37" fillId="0" borderId="13" xfId="0" applyFont="1" applyBorder="1"/>
    <xf numFmtId="1" fontId="37" fillId="26" borderId="13" xfId="0" applyNumberFormat="1" applyFont="1" applyFill="1" applyBorder="1" applyAlignment="1">
      <alignment horizontal="center" vertical="center" wrapText="1"/>
    </xf>
    <xf numFmtId="0" fontId="35" fillId="0" borderId="13" xfId="0" applyFont="1" applyBorder="1" applyAlignment="1">
      <alignment wrapText="1"/>
    </xf>
    <xf numFmtId="14" fontId="36" fillId="25" borderId="13" xfId="0" applyNumberFormat="1" applyFont="1" applyFill="1" applyBorder="1" applyAlignment="1" applyProtection="1">
      <alignment horizontal="center" vertical="center" wrapText="1"/>
      <protection locked="0"/>
    </xf>
    <xf numFmtId="1" fontId="36" fillId="25" borderId="13" xfId="0" applyNumberFormat="1" applyFont="1" applyFill="1" applyBorder="1" applyAlignment="1" applyProtection="1">
      <alignment horizontal="center" vertical="center" wrapText="1"/>
      <protection locked="0"/>
    </xf>
    <xf numFmtId="1" fontId="36" fillId="0" borderId="13" xfId="0" applyNumberFormat="1" applyFont="1" applyBorder="1" applyAlignment="1" applyProtection="1">
      <alignment horizontal="center" vertical="center" wrapText="1"/>
      <protection locked="0"/>
    </xf>
    <xf numFmtId="0" fontId="40" fillId="0" borderId="0" xfId="0" applyFont="1" applyAlignment="1">
      <alignment horizontal="center" vertical="center"/>
    </xf>
    <xf numFmtId="164" fontId="39" fillId="0" borderId="0" xfId="0" applyNumberFormat="1" applyFont="1" applyAlignment="1">
      <alignment horizontal="center" vertical="center"/>
    </xf>
    <xf numFmtId="164" fontId="39" fillId="0" borderId="17" xfId="0" applyNumberFormat="1" applyFont="1" applyBorder="1" applyAlignment="1">
      <alignment horizontal="center" vertical="center"/>
    </xf>
    <xf numFmtId="0" fontId="37" fillId="0" borderId="0" xfId="0" applyFont="1" applyAlignment="1">
      <alignment vertical="center" wrapText="1"/>
    </xf>
    <xf numFmtId="0" fontId="42" fillId="0" borderId="0" xfId="0" applyFont="1" applyAlignment="1">
      <alignment horizontal="center" vertical="center"/>
    </xf>
    <xf numFmtId="0" fontId="38" fillId="0" borderId="19" xfId="0" applyFont="1" applyBorder="1" applyAlignment="1">
      <alignment horizontal="left" vertical="center"/>
    </xf>
    <xf numFmtId="0" fontId="39" fillId="0" borderId="19" xfId="0" applyFont="1" applyBorder="1" applyAlignment="1">
      <alignment horizontal="right" vertical="center" wrapText="1"/>
    </xf>
    <xf numFmtId="0" fontId="38" fillId="0" borderId="24" xfId="0" applyFont="1" applyBorder="1" applyAlignment="1">
      <alignment horizontal="center" vertical="center" wrapText="1"/>
    </xf>
    <xf numFmtId="0" fontId="38" fillId="0" borderId="25" xfId="0" applyFont="1" applyBorder="1" applyAlignment="1">
      <alignment horizontal="center" vertical="center" wrapText="1"/>
    </xf>
    <xf numFmtId="0" fontId="38" fillId="0" borderId="32" xfId="0" applyFont="1" applyBorder="1" applyAlignment="1">
      <alignment horizontal="center" vertical="center" wrapText="1"/>
    </xf>
    <xf numFmtId="0" fontId="34" fillId="24" borderId="34" xfId="0" applyFont="1" applyFill="1" applyBorder="1" applyAlignment="1">
      <alignment horizontal="center" vertical="center"/>
    </xf>
    <xf numFmtId="0" fontId="34" fillId="24" borderId="35" xfId="0" applyFont="1" applyFill="1" applyBorder="1" applyAlignment="1">
      <alignment horizontal="center" vertical="center" wrapText="1"/>
    </xf>
    <xf numFmtId="0" fontId="34" fillId="24" borderId="35" xfId="0" applyFont="1" applyFill="1" applyBorder="1" applyAlignment="1">
      <alignment horizontal="left" vertical="center" wrapText="1"/>
    </xf>
    <xf numFmtId="1" fontId="34" fillId="24" borderId="36" xfId="203" applyNumberFormat="1" applyFont="1" applyFill="1" applyBorder="1" applyAlignment="1">
      <alignment horizontal="center" vertical="center"/>
    </xf>
    <xf numFmtId="0" fontId="38" fillId="0" borderId="39" xfId="0" applyFont="1" applyBorder="1" applyAlignment="1">
      <alignment horizontal="center" vertical="center"/>
    </xf>
    <xf numFmtId="164" fontId="38" fillId="0" borderId="13" xfId="0" applyNumberFormat="1" applyFont="1" applyBorder="1" applyAlignment="1">
      <alignment horizontal="center" vertical="center"/>
    </xf>
    <xf numFmtId="0" fontId="45" fillId="0" borderId="13" xfId="0" applyFont="1" applyBorder="1" applyAlignment="1">
      <alignment horizontal="center" vertical="center" wrapText="1"/>
    </xf>
    <xf numFmtId="0" fontId="38" fillId="0" borderId="13" xfId="0" applyFont="1" applyBorder="1" applyAlignment="1">
      <alignment horizontal="center" vertical="center"/>
    </xf>
    <xf numFmtId="0" fontId="38" fillId="0" borderId="60" xfId="0" applyFont="1" applyBorder="1" applyAlignment="1">
      <alignment horizontal="center" vertical="center"/>
    </xf>
    <xf numFmtId="0" fontId="38" fillId="0" borderId="47" xfId="0" applyFont="1" applyBorder="1" applyAlignment="1">
      <alignment horizontal="center" vertical="center"/>
    </xf>
    <xf numFmtId="0" fontId="23" fillId="0" borderId="49" xfId="0" applyFont="1" applyBorder="1" applyAlignment="1">
      <alignment horizontal="center" vertical="center" wrapText="1"/>
    </xf>
    <xf numFmtId="0" fontId="34" fillId="29" borderId="50" xfId="0" applyFont="1" applyFill="1" applyBorder="1" applyAlignment="1">
      <alignment horizontal="center" vertical="center"/>
    </xf>
    <xf numFmtId="164" fontId="34" fillId="29" borderId="51" xfId="0" applyNumberFormat="1" applyFont="1" applyFill="1" applyBorder="1" applyAlignment="1">
      <alignment horizontal="center" vertical="center"/>
    </xf>
    <xf numFmtId="0" fontId="34" fillId="29" borderId="35" xfId="0" applyFont="1" applyFill="1" applyBorder="1" applyAlignment="1">
      <alignment vertical="center" wrapText="1"/>
    </xf>
    <xf numFmtId="1" fontId="34" fillId="29" borderId="36" xfId="0" applyNumberFormat="1" applyFont="1" applyFill="1" applyBorder="1" applyAlignment="1">
      <alignment horizontal="center" vertical="center" wrapText="1"/>
    </xf>
    <xf numFmtId="164" fontId="48" fillId="30" borderId="13" xfId="0" applyNumberFormat="1" applyFont="1" applyFill="1" applyBorder="1" applyAlignment="1">
      <alignment horizontal="center" vertical="center"/>
    </xf>
    <xf numFmtId="0" fontId="36" fillId="30" borderId="13" xfId="0" applyFont="1" applyFill="1" applyBorder="1" applyAlignment="1">
      <alignment vertical="center" wrapText="1"/>
    </xf>
    <xf numFmtId="0" fontId="48" fillId="30" borderId="40" xfId="0" applyFont="1" applyFill="1" applyBorder="1" applyAlignment="1">
      <alignment horizontal="center" vertical="center" wrapText="1"/>
    </xf>
    <xf numFmtId="1" fontId="36" fillId="28" borderId="55" xfId="0" applyNumberFormat="1" applyFont="1" applyFill="1" applyBorder="1" applyAlignment="1">
      <alignment horizontal="center" vertical="center" wrapText="1"/>
    </xf>
    <xf numFmtId="0" fontId="50" fillId="0" borderId="0" xfId="0" applyFont="1" applyAlignment="1">
      <alignment horizontal="center" vertical="center" wrapText="1"/>
    </xf>
    <xf numFmtId="0" fontId="34" fillId="32" borderId="50" xfId="0" applyFont="1" applyFill="1" applyBorder="1" applyAlignment="1">
      <alignment horizontal="center" vertical="center"/>
    </xf>
    <xf numFmtId="164" fontId="34" fillId="32" borderId="51" xfId="0" applyNumberFormat="1" applyFont="1" applyFill="1" applyBorder="1" applyAlignment="1">
      <alignment horizontal="center" vertical="center"/>
    </xf>
    <xf numFmtId="0" fontId="34" fillId="32" borderId="56" xfId="0" applyFont="1" applyFill="1" applyBorder="1" applyAlignment="1">
      <alignment horizontal="left" vertical="center" wrapText="1"/>
    </xf>
    <xf numFmtId="165" fontId="34" fillId="32" borderId="35" xfId="0" applyNumberFormat="1" applyFont="1" applyFill="1" applyBorder="1" applyAlignment="1">
      <alignment horizontal="center" vertical="center" wrapText="1"/>
    </xf>
    <xf numFmtId="1" fontId="34" fillId="32" borderId="53" xfId="0" applyNumberFormat="1" applyFont="1" applyFill="1" applyBorder="1" applyAlignment="1">
      <alignment horizontal="center" vertical="center" wrapText="1"/>
    </xf>
    <xf numFmtId="0" fontId="38" fillId="0" borderId="47" xfId="0" applyFont="1" applyBorder="1" applyAlignment="1">
      <alignment horizontal="center" vertical="center" wrapText="1"/>
    </xf>
    <xf numFmtId="1" fontId="36" fillId="28" borderId="70" xfId="0" applyNumberFormat="1" applyFont="1" applyFill="1" applyBorder="1" applyAlignment="1">
      <alignment horizontal="center" vertical="center" wrapText="1"/>
    </xf>
    <xf numFmtId="0" fontId="34" fillId="34" borderId="50" xfId="0" applyFont="1" applyFill="1" applyBorder="1" applyAlignment="1">
      <alignment horizontal="center" vertical="center"/>
    </xf>
    <xf numFmtId="164" fontId="34" fillId="34" borderId="51" xfId="0" applyNumberFormat="1" applyFont="1" applyFill="1" applyBorder="1" applyAlignment="1">
      <alignment horizontal="center" vertical="center"/>
    </xf>
    <xf numFmtId="1" fontId="34" fillId="34" borderId="36" xfId="0" applyNumberFormat="1" applyFont="1" applyFill="1" applyBorder="1" applyAlignment="1">
      <alignment horizontal="center" vertical="center" wrapText="1"/>
    </xf>
    <xf numFmtId="1" fontId="36" fillId="28" borderId="63" xfId="0" applyNumberFormat="1" applyFont="1" applyFill="1" applyBorder="1" applyAlignment="1">
      <alignment horizontal="center" vertical="center" wrapText="1"/>
    </xf>
    <xf numFmtId="0" fontId="38" fillId="0" borderId="71" xfId="0" applyFont="1" applyBorder="1" applyAlignment="1">
      <alignment horizontal="center" vertical="center"/>
    </xf>
    <xf numFmtId="0" fontId="38" fillId="0" borderId="46" xfId="0" applyFont="1" applyBorder="1" applyAlignment="1">
      <alignment horizontal="center" vertical="center"/>
    </xf>
    <xf numFmtId="0" fontId="36" fillId="0" borderId="0" xfId="203" applyFont="1" applyAlignment="1">
      <alignment horizontal="left" vertical="center"/>
    </xf>
    <xf numFmtId="0" fontId="54" fillId="0" borderId="0" xfId="356" applyFont="1"/>
    <xf numFmtId="0" fontId="54" fillId="36" borderId="0" xfId="356" applyFont="1" applyFill="1"/>
    <xf numFmtId="0" fontId="54" fillId="37" borderId="0" xfId="356" applyFont="1" applyFill="1"/>
    <xf numFmtId="166" fontId="54" fillId="36" borderId="0" xfId="356" applyNumberFormat="1" applyFont="1" applyFill="1"/>
    <xf numFmtId="1" fontId="54" fillId="36" borderId="0" xfId="356" applyNumberFormat="1" applyFont="1" applyFill="1"/>
    <xf numFmtId="0" fontId="54" fillId="37" borderId="0" xfId="358" applyFont="1" applyFill="1"/>
    <xf numFmtId="166" fontId="54" fillId="37" borderId="0" xfId="356" applyNumberFormat="1" applyFont="1" applyFill="1"/>
    <xf numFmtId="0" fontId="54" fillId="36" borderId="0" xfId="357" applyFont="1" applyFill="1"/>
    <xf numFmtId="0" fontId="54" fillId="37" borderId="0" xfId="357" applyFont="1" applyFill="1"/>
    <xf numFmtId="0" fontId="54" fillId="36" borderId="13" xfId="357" applyFont="1" applyFill="1" applyBorder="1" applyAlignment="1">
      <alignment horizontal="center" vertical="center"/>
    </xf>
    <xf numFmtId="0" fontId="54" fillId="36" borderId="0" xfId="357" applyFont="1" applyFill="1" applyAlignment="1">
      <alignment horizontal="center" vertical="center"/>
    </xf>
    <xf numFmtId="0" fontId="54" fillId="37" borderId="13" xfId="357" applyFont="1" applyFill="1" applyBorder="1" applyAlignment="1">
      <alignment horizontal="center" vertical="center"/>
    </xf>
    <xf numFmtId="0" fontId="54" fillId="37" borderId="0" xfId="357" applyFont="1" applyFill="1" applyAlignment="1">
      <alignment horizontal="center" vertical="center"/>
    </xf>
    <xf numFmtId="166" fontId="54" fillId="36" borderId="13" xfId="357" applyNumberFormat="1" applyFont="1" applyFill="1" applyBorder="1"/>
    <xf numFmtId="166" fontId="54" fillId="36" borderId="0" xfId="357" applyNumberFormat="1" applyFont="1" applyFill="1"/>
    <xf numFmtId="166" fontId="54" fillId="37" borderId="13" xfId="357" applyNumberFormat="1" applyFont="1" applyFill="1" applyBorder="1"/>
    <xf numFmtId="166" fontId="54" fillId="37" borderId="0" xfId="357" applyNumberFormat="1" applyFont="1" applyFill="1"/>
    <xf numFmtId="0" fontId="23" fillId="0" borderId="29" xfId="203" applyBorder="1" applyAlignment="1" applyProtection="1">
      <alignment horizontal="center" vertical="center" wrapText="1"/>
      <protection locked="0"/>
    </xf>
    <xf numFmtId="0" fontId="23" fillId="0" borderId="93" xfId="203" applyBorder="1" applyAlignment="1">
      <alignment horizontal="center" vertical="center" wrapText="1"/>
    </xf>
    <xf numFmtId="0" fontId="23" fillId="0" borderId="75" xfId="203" applyBorder="1" applyAlignment="1">
      <alignment horizontal="center" vertical="center" wrapText="1"/>
    </xf>
    <xf numFmtId="0" fontId="75" fillId="28" borderId="49" xfId="203" applyFont="1" applyFill="1" applyBorder="1" applyAlignment="1">
      <alignment vertical="center" wrapText="1"/>
    </xf>
    <xf numFmtId="0" fontId="53" fillId="0" borderId="0" xfId="0" applyFont="1" applyAlignment="1">
      <alignment vertical="center"/>
    </xf>
    <xf numFmtId="0" fontId="54" fillId="0" borderId="73" xfId="288" applyFont="1" applyBorder="1"/>
    <xf numFmtId="0" fontId="70" fillId="0" borderId="0" xfId="288" applyFont="1"/>
    <xf numFmtId="0" fontId="9" fillId="0" borderId="0" xfId="288" applyFont="1"/>
    <xf numFmtId="0" fontId="70" fillId="0" borderId="37" xfId="288" applyFont="1" applyBorder="1" applyAlignment="1">
      <alignment vertical="center"/>
    </xf>
    <xf numFmtId="0" fontId="54" fillId="0" borderId="42" xfId="288" applyFont="1" applyBorder="1"/>
    <xf numFmtId="0" fontId="23" fillId="0" borderId="0" xfId="203" applyAlignment="1">
      <alignment horizontal="center" vertical="center"/>
    </xf>
    <xf numFmtId="1" fontId="36" fillId="28" borderId="45" xfId="203" applyNumberFormat="1" applyFont="1" applyFill="1" applyBorder="1" applyAlignment="1">
      <alignment horizontal="center" vertical="center"/>
    </xf>
    <xf numFmtId="0" fontId="23" fillId="0" borderId="54" xfId="203" applyBorder="1" applyAlignment="1">
      <alignment horizontal="center" vertical="center"/>
    </xf>
    <xf numFmtId="0" fontId="23" fillId="0" borderId="70" xfId="203" applyBorder="1" applyAlignment="1">
      <alignment horizontal="center" vertical="center"/>
    </xf>
    <xf numFmtId="0" fontId="41" fillId="25" borderId="61" xfId="359" applyFont="1" applyFill="1" applyBorder="1" applyAlignment="1" applyProtection="1">
      <alignment horizontal="center" vertical="center" wrapText="1"/>
      <protection locked="0"/>
    </xf>
    <xf numFmtId="0" fontId="0" fillId="26" borderId="41" xfId="0" applyFill="1" applyBorder="1" applyAlignment="1">
      <alignment horizontal="center" vertical="center"/>
    </xf>
    <xf numFmtId="164" fontId="23" fillId="0" borderId="42" xfId="0" applyNumberFormat="1" applyFont="1" applyBorder="1" applyAlignment="1">
      <alignment horizontal="center" vertical="center"/>
    </xf>
    <xf numFmtId="164" fontId="23" fillId="0" borderId="0" xfId="0" applyNumberFormat="1" applyFont="1" applyAlignment="1">
      <alignment horizontal="right" vertical="center"/>
    </xf>
    <xf numFmtId="164" fontId="39" fillId="0" borderId="0" xfId="0" applyNumberFormat="1" applyFont="1" applyAlignment="1">
      <alignment horizontal="right" vertical="center"/>
    </xf>
    <xf numFmtId="0" fontId="37" fillId="0" borderId="0" xfId="0" applyFont="1" applyAlignment="1">
      <alignment horizontal="right" vertical="center" wrapText="1"/>
    </xf>
    <xf numFmtId="164" fontId="34" fillId="24" borderId="35" xfId="0" applyNumberFormat="1" applyFont="1" applyFill="1" applyBorder="1" applyAlignment="1">
      <alignment horizontal="right" vertical="center"/>
    </xf>
    <xf numFmtId="164" fontId="0" fillId="0" borderId="0" xfId="0" applyNumberFormat="1" applyAlignment="1">
      <alignment horizontal="right" vertical="center"/>
    </xf>
    <xf numFmtId="0" fontId="34" fillId="29" borderId="52" xfId="0" applyFont="1" applyFill="1" applyBorder="1" applyAlignment="1">
      <alignment horizontal="center" vertical="center" wrapText="1"/>
    </xf>
    <xf numFmtId="0" fontId="48" fillId="30" borderId="13" xfId="0" applyFont="1" applyFill="1" applyBorder="1" applyAlignment="1">
      <alignment horizontal="center" vertical="center" wrapText="1"/>
    </xf>
    <xf numFmtId="0" fontId="34" fillId="32" borderId="51" xfId="0" applyFont="1" applyFill="1" applyBorder="1" applyAlignment="1">
      <alignment horizontal="center" vertical="center" wrapText="1"/>
    </xf>
    <xf numFmtId="0" fontId="34" fillId="34" borderId="51" xfId="0" applyFont="1" applyFill="1" applyBorder="1" applyAlignment="1">
      <alignment horizontal="center" vertical="center" wrapText="1"/>
    </xf>
    <xf numFmtId="164" fontId="38" fillId="0" borderId="47" xfId="0" applyNumberFormat="1" applyFont="1" applyBorder="1" applyAlignment="1">
      <alignment horizontal="center" vertical="center"/>
    </xf>
    <xf numFmtId="0" fontId="38" fillId="0" borderId="57" xfId="0" applyFont="1" applyBorder="1" applyAlignment="1">
      <alignment horizontal="center" vertical="center"/>
    </xf>
    <xf numFmtId="164" fontId="38" fillId="0" borderId="60" xfId="0" applyNumberFormat="1" applyFont="1" applyBorder="1" applyAlignment="1">
      <alignment horizontal="center" vertical="center"/>
    </xf>
    <xf numFmtId="0" fontId="38" fillId="0" borderId="60" xfId="0" applyFont="1" applyBorder="1" applyAlignment="1">
      <alignment horizontal="center" vertical="center" wrapText="1"/>
    </xf>
    <xf numFmtId="0" fontId="48" fillId="30" borderId="101" xfId="0" applyFont="1" applyFill="1" applyBorder="1" applyAlignment="1">
      <alignment horizontal="center" vertical="center"/>
    </xf>
    <xf numFmtId="0" fontId="54" fillId="40" borderId="0" xfId="204" applyFont="1" applyFill="1"/>
    <xf numFmtId="0" fontId="41" fillId="25" borderId="38" xfId="359" applyFont="1" applyFill="1" applyBorder="1" applyAlignment="1" applyProtection="1">
      <alignment horizontal="center" vertical="center" wrapText="1"/>
      <protection locked="0"/>
    </xf>
    <xf numFmtId="0" fontId="23" fillId="0" borderId="53" xfId="203" applyBorder="1" applyAlignment="1">
      <alignment horizontal="center" vertical="center"/>
    </xf>
    <xf numFmtId="0" fontId="56" fillId="0" borderId="34" xfId="361" applyFont="1" applyBorder="1" applyAlignment="1">
      <alignment vertical="center"/>
    </xf>
    <xf numFmtId="0" fontId="56" fillId="0" borderId="35" xfId="361" applyFont="1" applyBorder="1" applyAlignment="1">
      <alignment horizontal="center" vertical="center"/>
    </xf>
    <xf numFmtId="0" fontId="56" fillId="0" borderId="36" xfId="361" applyFont="1" applyBorder="1" applyAlignment="1">
      <alignment horizontal="center" vertical="center"/>
    </xf>
    <xf numFmtId="0" fontId="56" fillId="0" borderId="39" xfId="361" applyFont="1" applyBorder="1" applyAlignment="1">
      <alignment vertical="center"/>
    </xf>
    <xf numFmtId="1" fontId="36" fillId="0" borderId="13" xfId="362" applyNumberFormat="1" applyFont="1" applyBorder="1" applyAlignment="1">
      <alignment horizontal="center" vertical="center"/>
    </xf>
    <xf numFmtId="0" fontId="58" fillId="0" borderId="40" xfId="361" applyFont="1" applyBorder="1" applyAlignment="1">
      <alignment horizontal="center" vertical="center"/>
    </xf>
    <xf numFmtId="0" fontId="70" fillId="0" borderId="37" xfId="288" applyFont="1" applyBorder="1" applyAlignment="1">
      <alignment vertical="center" wrapText="1"/>
    </xf>
    <xf numFmtId="0" fontId="83" fillId="0" borderId="0" xfId="0" applyFont="1" applyAlignment="1">
      <alignment vertical="center"/>
    </xf>
    <xf numFmtId="0" fontId="54" fillId="35" borderId="61" xfId="0" applyFont="1" applyFill="1" applyBorder="1" applyAlignment="1">
      <alignment vertical="center"/>
    </xf>
    <xf numFmtId="1" fontId="54" fillId="36" borderId="13" xfId="357" applyNumberFormat="1" applyFont="1" applyFill="1" applyBorder="1"/>
    <xf numFmtId="1" fontId="54" fillId="28" borderId="13" xfId="208" applyNumberFormat="1" applyFont="1" applyFill="1" applyBorder="1"/>
    <xf numFmtId="1" fontId="54" fillId="28" borderId="0" xfId="208" applyNumberFormat="1" applyFont="1" applyFill="1"/>
    <xf numFmtId="1" fontId="54" fillId="0" borderId="0" xfId="208" applyNumberFormat="1" applyFont="1"/>
    <xf numFmtId="1" fontId="54" fillId="40" borderId="13" xfId="208" applyNumberFormat="1" applyFont="1" applyFill="1" applyBorder="1"/>
    <xf numFmtId="1" fontId="54" fillId="40" borderId="0" xfId="208" applyNumberFormat="1" applyFont="1" applyFill="1"/>
    <xf numFmtId="0" fontId="35" fillId="0" borderId="0" xfId="203" applyFont="1" applyAlignment="1">
      <alignment horizontal="center" vertical="center" wrapText="1"/>
    </xf>
    <xf numFmtId="0" fontId="0" fillId="0" borderId="54" xfId="349" applyFont="1" applyBorder="1" applyAlignment="1">
      <alignment horizontal="left" vertical="center" wrapText="1"/>
    </xf>
    <xf numFmtId="0" fontId="0" fillId="0" borderId="13" xfId="349" applyFont="1" applyBorder="1" applyAlignment="1">
      <alignment vertical="center"/>
    </xf>
    <xf numFmtId="0" fontId="23" fillId="0" borderId="29" xfId="288" applyFont="1" applyBorder="1" applyAlignment="1" applyProtection="1">
      <alignment horizontal="center" vertical="center" wrapText="1"/>
      <protection locked="0"/>
    </xf>
    <xf numFmtId="0" fontId="23" fillId="0" borderId="0" xfId="288" applyFont="1" applyAlignment="1">
      <alignment horizontal="center" vertical="center"/>
    </xf>
    <xf numFmtId="0" fontId="23" fillId="0" borderId="0" xfId="348" applyFont="1" applyAlignment="1">
      <alignment horizontal="center" vertical="center"/>
    </xf>
    <xf numFmtId="0" fontId="23" fillId="0" borderId="0" xfId="203" applyAlignment="1">
      <alignment horizontal="center"/>
    </xf>
    <xf numFmtId="0" fontId="36" fillId="0" borderId="0" xfId="203" applyFont="1" applyAlignment="1">
      <alignment horizontal="center" vertical="center" wrapText="1"/>
    </xf>
    <xf numFmtId="0" fontId="23" fillId="0" borderId="96" xfId="349" applyFont="1" applyBorder="1" applyAlignment="1" applyProtection="1">
      <alignment horizontal="center" vertical="center"/>
      <protection locked="0"/>
    </xf>
    <xf numFmtId="0" fontId="23" fillId="0" borderId="29" xfId="349" applyFont="1" applyBorder="1" applyAlignment="1" applyProtection="1">
      <alignment horizontal="center" vertical="center"/>
      <protection locked="0"/>
    </xf>
    <xf numFmtId="0" fontId="23" fillId="0" borderId="28" xfId="349" applyFont="1" applyBorder="1" applyAlignment="1" applyProtection="1">
      <alignment horizontal="center" vertical="center"/>
      <protection locked="0"/>
    </xf>
    <xf numFmtId="0" fontId="23" fillId="0" borderId="65" xfId="0" applyFont="1" applyBorder="1" applyAlignment="1">
      <alignment horizontal="center" vertical="center"/>
    </xf>
    <xf numFmtId="14" fontId="34" fillId="0" borderId="16" xfId="0" applyNumberFormat="1" applyFont="1" applyBorder="1" applyAlignment="1">
      <alignment horizontal="center" vertical="center"/>
    </xf>
    <xf numFmtId="0" fontId="23" fillId="0" borderId="29" xfId="0" applyFont="1" applyBorder="1" applyAlignment="1">
      <alignment horizontal="center" vertical="center"/>
    </xf>
    <xf numFmtId="0" fontId="35" fillId="0" borderId="29" xfId="0" applyFont="1" applyBorder="1" applyAlignment="1">
      <alignment horizontal="center" vertical="center"/>
    </xf>
    <xf numFmtId="0" fontId="23" fillId="0" borderId="39" xfId="0" applyFont="1" applyBorder="1" applyAlignment="1">
      <alignment horizontal="center" vertical="center"/>
    </xf>
    <xf numFmtId="0" fontId="36" fillId="31" borderId="27" xfId="0" applyFont="1" applyFill="1" applyBorder="1" applyAlignment="1">
      <alignment vertical="center" wrapText="1"/>
    </xf>
    <xf numFmtId="1" fontId="47" fillId="29" borderId="38" xfId="0" applyNumberFormat="1" applyFont="1" applyFill="1" applyBorder="1" applyAlignment="1">
      <alignment horizontal="center" vertical="center" wrapText="1"/>
    </xf>
    <xf numFmtId="0" fontId="48" fillId="30" borderId="45" xfId="0" applyFont="1" applyFill="1" applyBorder="1" applyAlignment="1">
      <alignment horizontal="center" vertical="center" wrapText="1"/>
    </xf>
    <xf numFmtId="1" fontId="44" fillId="28" borderId="43" xfId="0" applyNumberFormat="1" applyFont="1" applyFill="1" applyBorder="1" applyAlignment="1">
      <alignment horizontal="center" vertical="center" wrapText="1"/>
    </xf>
    <xf numFmtId="0" fontId="56" fillId="0" borderId="0" xfId="0" applyFont="1" applyAlignment="1">
      <alignment vertical="center" wrapText="1"/>
    </xf>
    <xf numFmtId="165" fontId="36" fillId="0" borderId="84" xfId="0" applyNumberFormat="1" applyFont="1" applyBorder="1" applyAlignment="1">
      <alignment horizontal="right" vertical="center"/>
    </xf>
    <xf numFmtId="165" fontId="36" fillId="0" borderId="103" xfId="0" applyNumberFormat="1" applyFont="1" applyBorder="1" applyAlignment="1">
      <alignment horizontal="center" vertical="center"/>
    </xf>
    <xf numFmtId="3" fontId="36" fillId="0" borderId="104" xfId="0" applyNumberFormat="1" applyFont="1" applyBorder="1" applyAlignment="1">
      <alignment horizontal="center" vertical="center"/>
    </xf>
    <xf numFmtId="0" fontId="38" fillId="0" borderId="100" xfId="0" applyFont="1" applyBorder="1" applyAlignment="1">
      <alignment horizontal="center" vertical="center" wrapText="1"/>
    </xf>
    <xf numFmtId="0" fontId="23" fillId="0" borderId="29" xfId="0" quotePrefix="1" applyFont="1" applyBorder="1" applyAlignment="1">
      <alignment horizontal="center" vertical="center" wrapText="1" justifyLastLine="1"/>
    </xf>
    <xf numFmtId="0" fontId="23" fillId="0" borderId="29" xfId="0" applyFont="1" applyBorder="1" applyAlignment="1">
      <alignment horizontal="center" vertical="center" wrapText="1" justifyLastLine="1"/>
    </xf>
    <xf numFmtId="0" fontId="70" fillId="0" borderId="0" xfId="0" applyFont="1" applyAlignment="1">
      <alignment horizontal="center" vertical="center"/>
    </xf>
    <xf numFmtId="0" fontId="58" fillId="44" borderId="40" xfId="349" applyFont="1" applyFill="1" applyBorder="1" applyAlignment="1">
      <alignment horizontal="center" vertical="center"/>
    </xf>
    <xf numFmtId="0" fontId="85" fillId="44" borderId="0" xfId="349" applyFont="1" applyFill="1" applyAlignment="1">
      <alignment horizontal="left"/>
    </xf>
    <xf numFmtId="0" fontId="85" fillId="44" borderId="0" xfId="349" applyFont="1" applyFill="1"/>
    <xf numFmtId="0" fontId="53" fillId="0" borderId="0" xfId="203" applyFont="1" applyAlignment="1">
      <alignment vertical="center" wrapText="1"/>
    </xf>
    <xf numFmtId="0" fontId="84" fillId="44" borderId="40" xfId="361" applyFont="1" applyFill="1" applyBorder="1" applyAlignment="1">
      <alignment horizontal="center" vertical="center"/>
    </xf>
    <xf numFmtId="0" fontId="35" fillId="0" borderId="65" xfId="203" applyFont="1" applyBorder="1" applyAlignment="1">
      <alignment vertical="center"/>
    </xf>
    <xf numFmtId="1" fontId="36" fillId="44" borderId="13" xfId="362" applyNumberFormat="1" applyFont="1" applyFill="1" applyBorder="1" applyAlignment="1">
      <alignment horizontal="center" vertical="center"/>
    </xf>
    <xf numFmtId="0" fontId="70" fillId="0" borderId="0" xfId="0" applyFont="1"/>
    <xf numFmtId="3" fontId="36" fillId="25" borderId="13" xfId="0" applyNumberFormat="1" applyFont="1" applyFill="1" applyBorder="1" applyAlignment="1" applyProtection="1">
      <alignment horizontal="center" vertical="center" wrapText="1"/>
      <protection locked="0"/>
    </xf>
    <xf numFmtId="0" fontId="36" fillId="25" borderId="13" xfId="0" applyFont="1" applyFill="1" applyBorder="1" applyAlignment="1" applyProtection="1">
      <alignment horizontal="center" vertical="center" wrapText="1"/>
      <protection locked="0"/>
    </xf>
    <xf numFmtId="0" fontId="88" fillId="37" borderId="13" xfId="155" quotePrefix="1" applyFont="1" applyFill="1" applyBorder="1">
      <alignment vertical="top"/>
    </xf>
    <xf numFmtId="0" fontId="88" fillId="52" borderId="13" xfId="155" quotePrefix="1" applyFont="1" applyFill="1" applyBorder="1">
      <alignment vertical="top"/>
    </xf>
    <xf numFmtId="0" fontId="88" fillId="52" borderId="13" xfId="155" quotePrefix="1" applyFont="1" applyFill="1" applyBorder="1" applyAlignment="1">
      <alignment vertical="center"/>
    </xf>
    <xf numFmtId="0" fontId="7" fillId="0" borderId="0" xfId="364"/>
    <xf numFmtId="0" fontId="90" fillId="0" borderId="0" xfId="364" applyFont="1" applyAlignment="1">
      <alignment vertical="top"/>
    </xf>
    <xf numFmtId="0" fontId="91" fillId="0" borderId="0" xfId="364" applyFont="1"/>
    <xf numFmtId="0" fontId="7" fillId="0" borderId="0" xfId="364" applyAlignment="1">
      <alignment wrapText="1"/>
    </xf>
    <xf numFmtId="0" fontId="61" fillId="38" borderId="13" xfId="364" applyFont="1" applyFill="1" applyBorder="1" applyAlignment="1">
      <alignment wrapText="1"/>
    </xf>
    <xf numFmtId="0" fontId="61" fillId="38" borderId="13" xfId="364" applyFont="1" applyFill="1" applyBorder="1"/>
    <xf numFmtId="0" fontId="61" fillId="60" borderId="13" xfId="364" applyFont="1" applyFill="1" applyBorder="1"/>
    <xf numFmtId="0" fontId="61" fillId="60" borderId="62" xfId="364" applyFont="1" applyFill="1" applyBorder="1" applyAlignment="1">
      <alignment wrapText="1"/>
    </xf>
    <xf numFmtId="0" fontId="61" fillId="60" borderId="62" xfId="364" applyFont="1" applyFill="1" applyBorder="1"/>
    <xf numFmtId="0" fontId="61" fillId="60" borderId="13" xfId="364" applyFont="1" applyFill="1" applyBorder="1" applyAlignment="1">
      <alignment wrapText="1"/>
    </xf>
    <xf numFmtId="0" fontId="7" fillId="0" borderId="13" xfId="364" applyBorder="1"/>
    <xf numFmtId="0" fontId="7" fillId="47" borderId="13" xfId="364" applyFill="1" applyBorder="1" applyAlignment="1">
      <alignment vertical="top" wrapText="1"/>
    </xf>
    <xf numFmtId="0" fontId="90" fillId="47" borderId="13" xfId="364" applyFont="1" applyFill="1" applyBorder="1" applyAlignment="1">
      <alignment vertical="top" wrapText="1"/>
    </xf>
    <xf numFmtId="0" fontId="7" fillId="47" borderId="13" xfId="364" applyFill="1" applyBorder="1" applyAlignment="1">
      <alignment wrapText="1"/>
    </xf>
    <xf numFmtId="0" fontId="7" fillId="61" borderId="13" xfId="364" applyFill="1" applyBorder="1" applyAlignment="1">
      <alignment vertical="top" wrapText="1"/>
    </xf>
    <xf numFmtId="0" fontId="7" fillId="0" borderId="13" xfId="364" applyBorder="1" applyAlignment="1">
      <alignment vertical="top"/>
    </xf>
    <xf numFmtId="0" fontId="7" fillId="44" borderId="13" xfId="364" applyFill="1" applyBorder="1"/>
    <xf numFmtId="0" fontId="7" fillId="0" borderId="13" xfId="364" applyBorder="1" applyAlignment="1">
      <alignment wrapText="1"/>
    </xf>
    <xf numFmtId="0" fontId="7" fillId="0" borderId="13" xfId="364" applyBorder="1" applyAlignment="1">
      <alignment horizontal="justify" vertical="center" wrapText="1"/>
    </xf>
    <xf numFmtId="0" fontId="90" fillId="47" borderId="13" xfId="364" applyFont="1" applyFill="1" applyBorder="1" applyAlignment="1">
      <alignment horizontal="right" vertical="top" wrapText="1"/>
    </xf>
    <xf numFmtId="0" fontId="7" fillId="47" borderId="62" xfId="364" applyFill="1" applyBorder="1" applyAlignment="1">
      <alignment vertical="top" wrapText="1"/>
    </xf>
    <xf numFmtId="0" fontId="7" fillId="47" borderId="60" xfId="364" applyFill="1" applyBorder="1" applyAlignment="1">
      <alignment vertical="top" wrapText="1"/>
    </xf>
    <xf numFmtId="0" fontId="90" fillId="47" borderId="60" xfId="364" applyFont="1" applyFill="1" applyBorder="1" applyAlignment="1">
      <alignment vertical="top" wrapText="1"/>
    </xf>
    <xf numFmtId="0" fontId="61" fillId="47" borderId="13" xfId="364" applyFont="1" applyFill="1" applyBorder="1" applyAlignment="1">
      <alignment vertical="top" wrapText="1"/>
    </xf>
    <xf numFmtId="0" fontId="61" fillId="0" borderId="0" xfId="364" applyFont="1"/>
    <xf numFmtId="0" fontId="61" fillId="0" borderId="13" xfId="364" applyFont="1" applyBorder="1" applyAlignment="1">
      <alignment vertical="top"/>
    </xf>
    <xf numFmtId="0" fontId="61" fillId="47" borderId="13" xfId="364" applyFont="1" applyFill="1" applyBorder="1" applyAlignment="1">
      <alignment wrapText="1"/>
    </xf>
    <xf numFmtId="0" fontId="61" fillId="0" borderId="0" xfId="364" applyFont="1" applyAlignment="1">
      <alignment wrapText="1"/>
    </xf>
    <xf numFmtId="0" fontId="61" fillId="0" borderId="13" xfId="364" applyFont="1" applyBorder="1"/>
    <xf numFmtId="0" fontId="61" fillId="0" borderId="13" xfId="364" applyFont="1" applyBorder="1" applyAlignment="1">
      <alignment wrapText="1"/>
    </xf>
    <xf numFmtId="0" fontId="57" fillId="0" borderId="0" xfId="364" applyFont="1"/>
    <xf numFmtId="0" fontId="70" fillId="0" borderId="0" xfId="0" applyFont="1" applyAlignment="1">
      <alignment vertical="center"/>
    </xf>
    <xf numFmtId="0" fontId="56" fillId="0" borderId="0" xfId="365" applyFont="1"/>
    <xf numFmtId="0" fontId="70" fillId="0" borderId="0" xfId="365"/>
    <xf numFmtId="0" fontId="56" fillId="0" borderId="0" xfId="365" applyFont="1" applyAlignment="1">
      <alignment wrapText="1"/>
    </xf>
    <xf numFmtId="0" fontId="56" fillId="0" borderId="0" xfId="365" applyFont="1" applyAlignment="1">
      <alignment horizontal="center" wrapText="1"/>
    </xf>
    <xf numFmtId="0" fontId="56" fillId="0" borderId="0" xfId="365" applyFont="1" applyAlignment="1">
      <alignment horizontal="center"/>
    </xf>
    <xf numFmtId="0" fontId="70" fillId="0" borderId="13" xfId="365" applyBorder="1"/>
    <xf numFmtId="0" fontId="70" fillId="0" borderId="13" xfId="365" applyBorder="1" applyAlignment="1">
      <alignment horizontal="center"/>
    </xf>
    <xf numFmtId="1" fontId="36" fillId="0" borderId="13" xfId="365" applyNumberFormat="1" applyFont="1" applyBorder="1" applyAlignment="1">
      <alignment horizontal="center" vertical="center" wrapText="1"/>
    </xf>
    <xf numFmtId="0" fontId="70" fillId="44" borderId="0" xfId="365" applyFill="1"/>
    <xf numFmtId="0" fontId="70" fillId="0" borderId="0" xfId="365" applyAlignment="1">
      <alignment wrapText="1"/>
    </xf>
    <xf numFmtId="1" fontId="34" fillId="48" borderId="13" xfId="365" applyNumberFormat="1" applyFont="1" applyFill="1" applyBorder="1" applyAlignment="1">
      <alignment horizontal="center" vertical="center" wrapText="1"/>
    </xf>
    <xf numFmtId="0" fontId="34" fillId="48" borderId="13" xfId="365" applyFont="1" applyFill="1" applyBorder="1" applyAlignment="1">
      <alignment horizontal="center" vertical="center" wrapText="1"/>
    </xf>
    <xf numFmtId="0" fontId="70" fillId="48" borderId="13" xfId="365" applyFill="1" applyBorder="1"/>
    <xf numFmtId="0" fontId="36" fillId="49" borderId="13" xfId="365" applyFont="1" applyFill="1" applyBorder="1" applyAlignment="1">
      <alignment horizontal="center" vertical="center" wrapText="1"/>
    </xf>
    <xf numFmtId="1" fontId="36" fillId="37" borderId="13" xfId="365" applyNumberFormat="1" applyFont="1" applyFill="1" applyBorder="1" applyAlignment="1">
      <alignment horizontal="center" vertical="center" wrapText="1"/>
    </xf>
    <xf numFmtId="0" fontId="70" fillId="37" borderId="13" xfId="365" applyFill="1" applyBorder="1"/>
    <xf numFmtId="0" fontId="35" fillId="50" borderId="13" xfId="365" applyFont="1" applyFill="1" applyBorder="1" applyAlignment="1">
      <alignment horizontal="center" vertical="center" wrapText="1"/>
    </xf>
    <xf numFmtId="0" fontId="34" fillId="51" borderId="13" xfId="365" applyFont="1" applyFill="1" applyBorder="1" applyAlignment="1">
      <alignment horizontal="center" vertical="center" wrapText="1"/>
    </xf>
    <xf numFmtId="0" fontId="70" fillId="51" borderId="13" xfId="365" applyFill="1" applyBorder="1"/>
    <xf numFmtId="0" fontId="36" fillId="52" borderId="13" xfId="365" applyFont="1" applyFill="1" applyBorder="1" applyAlignment="1">
      <alignment horizontal="center" vertical="center" wrapText="1"/>
    </xf>
    <xf numFmtId="0" fontId="70" fillId="52" borderId="13" xfId="365" applyFill="1" applyBorder="1"/>
    <xf numFmtId="0" fontId="36" fillId="0" borderId="13" xfId="365" applyFont="1" applyBorder="1" applyAlignment="1">
      <alignment vertical="center" wrapText="1"/>
    </xf>
    <xf numFmtId="0" fontId="34" fillId="27" borderId="13" xfId="365" applyFont="1" applyFill="1" applyBorder="1" applyAlignment="1">
      <alignment horizontal="center" vertical="center" wrapText="1"/>
    </xf>
    <xf numFmtId="0" fontId="70" fillId="27" borderId="13" xfId="365" applyFill="1" applyBorder="1"/>
    <xf numFmtId="0" fontId="34" fillId="0" borderId="13" xfId="365" applyFont="1" applyBorder="1" applyAlignment="1">
      <alignment horizontal="left" vertical="center" wrapText="1"/>
    </xf>
    <xf numFmtId="0" fontId="34" fillId="0" borderId="13" xfId="365" applyFont="1" applyBorder="1" applyAlignment="1">
      <alignment horizontal="center" vertical="center" wrapText="1"/>
    </xf>
    <xf numFmtId="0" fontId="36" fillId="55" borderId="13" xfId="365" applyFont="1" applyFill="1" applyBorder="1" applyAlignment="1">
      <alignment horizontal="center" vertical="center" wrapText="1"/>
    </xf>
    <xf numFmtId="0" fontId="70" fillId="55" borderId="13" xfId="365" applyFill="1" applyBorder="1"/>
    <xf numFmtId="0" fontId="36" fillId="58" borderId="13" xfId="365" applyFont="1" applyFill="1" applyBorder="1" applyAlignment="1">
      <alignment horizontal="center" vertical="center" wrapText="1"/>
    </xf>
    <xf numFmtId="165" fontId="36" fillId="0" borderId="13" xfId="365" applyNumberFormat="1" applyFont="1" applyBorder="1" applyAlignment="1">
      <alignment horizontal="center" vertical="center" wrapText="1"/>
    </xf>
    <xf numFmtId="165" fontId="36" fillId="0" borderId="13" xfId="365" applyNumberFormat="1" applyFont="1" applyBorder="1" applyAlignment="1">
      <alignment horizontal="center" vertical="center"/>
    </xf>
    <xf numFmtId="165" fontId="36" fillId="0" borderId="0" xfId="365" applyNumberFormat="1" applyFont="1" applyAlignment="1">
      <alignment horizontal="center" vertical="center"/>
    </xf>
    <xf numFmtId="0" fontId="6" fillId="47" borderId="13" xfId="364" applyFont="1" applyFill="1" applyBorder="1" applyAlignment="1">
      <alignment vertical="top" wrapText="1"/>
    </xf>
    <xf numFmtId="0" fontId="6" fillId="47" borderId="62" xfId="364" applyFont="1" applyFill="1" applyBorder="1" applyAlignment="1">
      <alignment vertical="top" wrapText="1"/>
    </xf>
    <xf numFmtId="0" fontId="6" fillId="0" borderId="13" xfId="364" applyFont="1" applyBorder="1"/>
    <xf numFmtId="0" fontId="61" fillId="60" borderId="60" xfId="364" applyFont="1" applyFill="1" applyBorder="1" applyAlignment="1">
      <alignment wrapText="1"/>
    </xf>
    <xf numFmtId="0" fontId="6" fillId="0" borderId="60" xfId="364" applyFont="1" applyBorder="1"/>
    <xf numFmtId="0" fontId="61" fillId="0" borderId="60" xfId="364" applyFont="1" applyBorder="1"/>
    <xf numFmtId="0" fontId="6" fillId="0" borderId="0" xfId="364" applyFont="1" applyAlignment="1">
      <alignment wrapText="1"/>
    </xf>
    <xf numFmtId="0" fontId="6" fillId="0" borderId="0" xfId="364" applyFont="1"/>
    <xf numFmtId="0" fontId="6" fillId="0" borderId="0" xfId="364" applyFont="1" applyAlignment="1">
      <alignment horizontal="justify" vertical="center" wrapText="1"/>
    </xf>
    <xf numFmtId="0" fontId="0" fillId="0" borderId="0" xfId="365" applyFont="1"/>
    <xf numFmtId="0" fontId="23" fillId="47" borderId="0" xfId="348" applyFont="1" applyFill="1"/>
    <xf numFmtId="0" fontId="81" fillId="0" borderId="0" xfId="365" applyFont="1"/>
    <xf numFmtId="0" fontId="34" fillId="29" borderId="13" xfId="365" applyFont="1" applyFill="1" applyBorder="1" applyAlignment="1">
      <alignment vertical="center" wrapText="1"/>
    </xf>
    <xf numFmtId="0" fontId="34" fillId="29" borderId="13" xfId="365" applyFont="1" applyFill="1" applyBorder="1" applyAlignment="1">
      <alignment horizontal="center" vertical="center" wrapText="1"/>
    </xf>
    <xf numFmtId="1" fontId="34" fillId="29" borderId="13" xfId="365" applyNumberFormat="1" applyFont="1" applyFill="1" applyBorder="1" applyAlignment="1">
      <alignment horizontal="center" vertical="center" wrapText="1"/>
    </xf>
    <xf numFmtId="0" fontId="70" fillId="29" borderId="13" xfId="365" applyFill="1" applyBorder="1"/>
    <xf numFmtId="0" fontId="36" fillId="31" borderId="13" xfId="365" applyFont="1" applyFill="1" applyBorder="1" applyAlignment="1">
      <alignment vertical="center" wrapText="1"/>
    </xf>
    <xf numFmtId="0" fontId="36" fillId="31" borderId="13" xfId="365" applyFont="1" applyFill="1" applyBorder="1" applyAlignment="1">
      <alignment horizontal="center" vertical="center" wrapText="1"/>
    </xf>
    <xf numFmtId="0" fontId="70" fillId="31" borderId="0" xfId="365" applyFill="1"/>
    <xf numFmtId="1" fontId="36" fillId="31" borderId="13" xfId="365" applyNumberFormat="1" applyFont="1" applyFill="1" applyBorder="1" applyAlignment="1">
      <alignment horizontal="center" vertical="center" wrapText="1"/>
    </xf>
    <xf numFmtId="1" fontId="88" fillId="31" borderId="13" xfId="155" quotePrefix="1" applyNumberFormat="1" applyFont="1" applyFill="1" applyBorder="1" applyAlignment="1">
      <alignment vertical="center"/>
    </xf>
    <xf numFmtId="10" fontId="35" fillId="65" borderId="13" xfId="365" applyNumberFormat="1" applyFont="1" applyFill="1" applyBorder="1" applyAlignment="1">
      <alignment horizontal="center" vertical="center" wrapText="1"/>
    </xf>
    <xf numFmtId="0" fontId="70" fillId="65" borderId="0" xfId="365" applyFill="1"/>
    <xf numFmtId="1" fontId="36" fillId="65" borderId="0" xfId="365" applyNumberFormat="1" applyFont="1" applyFill="1" applyAlignment="1">
      <alignment horizontal="center" vertical="center" wrapText="1"/>
    </xf>
    <xf numFmtId="0" fontId="35" fillId="65" borderId="13" xfId="365" applyFont="1" applyFill="1" applyBorder="1" applyAlignment="1">
      <alignment horizontal="center" vertical="center" wrapText="1"/>
    </xf>
    <xf numFmtId="9" fontId="35" fillId="65" borderId="13" xfId="363" applyFont="1" applyFill="1" applyBorder="1" applyAlignment="1">
      <alignment horizontal="center" vertical="center" wrapText="1"/>
    </xf>
    <xf numFmtId="0" fontId="23" fillId="0" borderId="13" xfId="348" applyFont="1" applyBorder="1" applyAlignment="1" applyProtection="1">
      <alignment horizontal="center" vertical="center"/>
      <protection locked="0"/>
    </xf>
    <xf numFmtId="0" fontId="35" fillId="0" borderId="13" xfId="348" applyFont="1" applyBorder="1" applyAlignment="1">
      <alignment horizontal="center" vertical="center"/>
    </xf>
    <xf numFmtId="0" fontId="38" fillId="0" borderId="0" xfId="203" applyFont="1" applyAlignment="1">
      <alignment vertical="center"/>
    </xf>
    <xf numFmtId="0" fontId="38" fillId="0" borderId="0" xfId="203" applyFont="1"/>
    <xf numFmtId="0" fontId="89" fillId="31" borderId="13" xfId="365" applyFont="1" applyFill="1" applyBorder="1" applyAlignment="1">
      <alignment vertical="center" wrapText="1"/>
    </xf>
    <xf numFmtId="9" fontId="35" fillId="65" borderId="13" xfId="365" applyNumberFormat="1" applyFont="1" applyFill="1" applyBorder="1" applyAlignment="1">
      <alignment horizontal="center" vertical="center" wrapText="1"/>
    </xf>
    <xf numFmtId="0" fontId="35" fillId="46" borderId="13" xfId="365" applyFont="1" applyFill="1" applyBorder="1" applyAlignment="1">
      <alignment horizontal="center" vertical="center" wrapText="1"/>
    </xf>
    <xf numFmtId="9" fontId="35" fillId="46" borderId="13" xfId="363" applyFont="1" applyFill="1" applyBorder="1" applyAlignment="1">
      <alignment horizontal="center" vertical="center" wrapText="1"/>
    </xf>
    <xf numFmtId="0" fontId="23" fillId="0" borderId="43" xfId="203" applyBorder="1" applyAlignment="1">
      <alignment horizontal="center" vertical="center" wrapText="1"/>
    </xf>
    <xf numFmtId="0" fontId="38" fillId="35" borderId="38" xfId="203" applyFont="1" applyFill="1" applyBorder="1" applyAlignment="1">
      <alignment horizontal="center" vertical="center" wrapText="1"/>
    </xf>
    <xf numFmtId="0" fontId="23" fillId="0" borderId="106" xfId="203" applyBorder="1" applyAlignment="1" applyProtection="1">
      <alignment horizontal="center" vertical="center" wrapText="1"/>
      <protection locked="0"/>
    </xf>
    <xf numFmtId="166" fontId="65" fillId="25" borderId="64" xfId="97" applyNumberFormat="1" applyFont="1" applyFill="1" applyBorder="1" applyAlignment="1" applyProtection="1">
      <alignment horizontal="center" vertical="center"/>
      <protection locked="0"/>
    </xf>
    <xf numFmtId="1" fontId="36" fillId="28" borderId="48" xfId="0" applyNumberFormat="1" applyFont="1" applyFill="1" applyBorder="1" applyAlignment="1">
      <alignment horizontal="center" vertical="center" wrapText="1"/>
    </xf>
    <xf numFmtId="0" fontId="53" fillId="31" borderId="39" xfId="0" applyFont="1" applyFill="1" applyBorder="1" applyAlignment="1">
      <alignment horizontal="center" vertical="center"/>
    </xf>
    <xf numFmtId="164" fontId="53" fillId="31" borderId="13" xfId="0" applyNumberFormat="1" applyFont="1" applyFill="1" applyBorder="1" applyAlignment="1">
      <alignment horizontal="center" vertical="center"/>
    </xf>
    <xf numFmtId="0" fontId="53" fillId="31" borderId="13" xfId="0" applyFont="1" applyFill="1" applyBorder="1" applyAlignment="1">
      <alignment horizontal="center" vertical="center" wrapText="1"/>
    </xf>
    <xf numFmtId="1" fontId="53" fillId="30" borderId="40" xfId="0" applyNumberFormat="1" applyFont="1" applyFill="1" applyBorder="1" applyAlignment="1">
      <alignment horizontal="center" vertical="center" wrapText="1"/>
    </xf>
    <xf numFmtId="0" fontId="56" fillId="0" borderId="39" xfId="0" applyFont="1" applyBorder="1" applyAlignment="1">
      <alignment horizontal="center" vertical="center"/>
    </xf>
    <xf numFmtId="164" fontId="56" fillId="0" borderId="13" xfId="0" applyNumberFormat="1" applyFont="1" applyBorder="1" applyAlignment="1">
      <alignment horizontal="center" vertical="center"/>
    </xf>
    <xf numFmtId="0" fontId="56" fillId="0" borderId="13" xfId="0" applyFont="1" applyBorder="1" applyAlignment="1">
      <alignment horizontal="center" vertical="center" wrapText="1"/>
    </xf>
    <xf numFmtId="1" fontId="53" fillId="28" borderId="55" xfId="0" applyNumberFormat="1" applyFont="1" applyFill="1" applyBorder="1" applyAlignment="1">
      <alignment horizontal="center" vertical="center" wrapText="1"/>
    </xf>
    <xf numFmtId="0" fontId="41" fillId="0" borderId="0" xfId="0" applyFont="1" applyAlignment="1">
      <alignment vertical="center"/>
    </xf>
    <xf numFmtId="166" fontId="38" fillId="0" borderId="0" xfId="0" applyNumberFormat="1" applyFont="1" applyAlignment="1" applyProtection="1">
      <alignment horizontal="center" vertical="center"/>
      <protection locked="0"/>
    </xf>
    <xf numFmtId="0" fontId="38" fillId="0" borderId="0" xfId="0" applyFont="1" applyAlignment="1" applyProtection="1">
      <alignment horizontal="center" vertical="center"/>
      <protection locked="0"/>
    </xf>
    <xf numFmtId="0" fontId="56" fillId="0" borderId="0" xfId="0" applyFont="1" applyAlignment="1">
      <alignment vertical="center"/>
    </xf>
    <xf numFmtId="166" fontId="41" fillId="0" borderId="0" xfId="200" applyNumberFormat="1" applyFont="1" applyFill="1" applyBorder="1" applyAlignment="1">
      <alignment horizontal="center" vertical="center"/>
    </xf>
    <xf numFmtId="168" fontId="6" fillId="0" borderId="13" xfId="288" applyNumberFormat="1" applyFont="1" applyBorder="1"/>
    <xf numFmtId="0" fontId="6" fillId="0" borderId="13" xfId="288" applyFont="1" applyBorder="1"/>
    <xf numFmtId="0" fontId="54" fillId="0" borderId="0" xfId="0" applyFont="1" applyAlignment="1">
      <alignment vertical="center"/>
    </xf>
    <xf numFmtId="0" fontId="59" fillId="35" borderId="66" xfId="0" applyFont="1" applyFill="1" applyBorder="1" applyAlignment="1">
      <alignment vertical="center"/>
    </xf>
    <xf numFmtId="0" fontId="59" fillId="35" borderId="61" xfId="0" applyFont="1" applyFill="1" applyBorder="1" applyAlignment="1">
      <alignment vertical="center"/>
    </xf>
    <xf numFmtId="0" fontId="54" fillId="35" borderId="41" xfId="0" applyFont="1" applyFill="1" applyBorder="1" applyAlignment="1">
      <alignment vertical="center"/>
    </xf>
    <xf numFmtId="0" fontId="36" fillId="0" borderId="0" xfId="348" applyFont="1" applyAlignment="1">
      <alignment horizontal="center"/>
    </xf>
    <xf numFmtId="0" fontId="36" fillId="0" borderId="0" xfId="348" applyFont="1" applyAlignment="1">
      <alignment horizontal="center" vertical="center"/>
    </xf>
    <xf numFmtId="0" fontId="35" fillId="0" borderId="0" xfId="348" applyFont="1" applyAlignment="1">
      <alignment vertical="center"/>
    </xf>
    <xf numFmtId="1" fontId="34" fillId="34" borderId="56" xfId="0" applyNumberFormat="1" applyFont="1" applyFill="1" applyBorder="1" applyAlignment="1">
      <alignment horizontal="center" vertical="center" wrapText="1"/>
    </xf>
    <xf numFmtId="0" fontId="48" fillId="30" borderId="67" xfId="0" applyFont="1" applyFill="1" applyBorder="1" applyAlignment="1">
      <alignment horizontal="center" vertical="center" wrapText="1"/>
    </xf>
    <xf numFmtId="1" fontId="34" fillId="29" borderId="56" xfId="0" applyNumberFormat="1" applyFont="1" applyFill="1" applyBorder="1" applyAlignment="1">
      <alignment horizontal="center" vertical="center" wrapText="1"/>
    </xf>
    <xf numFmtId="0" fontId="38" fillId="0" borderId="67" xfId="0" applyFont="1" applyBorder="1" applyAlignment="1">
      <alignment horizontal="center" vertical="center" wrapText="1"/>
    </xf>
    <xf numFmtId="1" fontId="36" fillId="28" borderId="75" xfId="0" applyNumberFormat="1" applyFont="1" applyFill="1" applyBorder="1" applyAlignment="1">
      <alignment horizontal="center" vertical="center" wrapText="1"/>
    </xf>
    <xf numFmtId="1" fontId="34" fillId="24" borderId="56" xfId="203" applyNumberFormat="1" applyFont="1" applyFill="1" applyBorder="1" applyAlignment="1">
      <alignment horizontal="center" vertical="center"/>
    </xf>
    <xf numFmtId="0" fontId="36" fillId="25" borderId="40" xfId="97" applyFont="1" applyFill="1" applyBorder="1" applyAlignment="1" applyProtection="1">
      <alignment horizontal="center" vertical="center"/>
      <protection locked="0"/>
    </xf>
    <xf numFmtId="0" fontId="36" fillId="25" borderId="75" xfId="97" applyFont="1" applyFill="1" applyBorder="1" applyAlignment="1" applyProtection="1">
      <alignment horizontal="center" vertical="center"/>
      <protection locked="0"/>
    </xf>
    <xf numFmtId="0" fontId="38" fillId="35" borderId="13" xfId="203" applyFont="1" applyFill="1" applyBorder="1" applyAlignment="1">
      <alignment vertical="center" wrapText="1"/>
    </xf>
    <xf numFmtId="0" fontId="38" fillId="35" borderId="13" xfId="203" applyFont="1" applyFill="1" applyBorder="1" applyAlignment="1">
      <alignment vertical="center"/>
    </xf>
    <xf numFmtId="0" fontId="45" fillId="0" borderId="39" xfId="203" applyFont="1" applyBorder="1" applyAlignment="1">
      <alignment horizontal="center" vertical="center" wrapText="1"/>
    </xf>
    <xf numFmtId="0" fontId="52" fillId="0" borderId="13" xfId="203" applyFont="1" applyBorder="1" applyAlignment="1">
      <alignment horizontal="center" vertical="center" wrapText="1"/>
    </xf>
    <xf numFmtId="0" fontId="52" fillId="0" borderId="67" xfId="203" applyFont="1" applyBorder="1" applyAlignment="1">
      <alignment horizontal="center" vertical="center" wrapText="1"/>
    </xf>
    <xf numFmtId="0" fontId="38" fillId="35" borderId="13" xfId="203" applyFont="1" applyFill="1" applyBorder="1" applyAlignment="1">
      <alignment horizontal="center" vertical="center"/>
    </xf>
    <xf numFmtId="0" fontId="23" fillId="35" borderId="13" xfId="203" applyFill="1" applyBorder="1" applyAlignment="1">
      <alignment vertical="center"/>
    </xf>
    <xf numFmtId="0" fontId="38" fillId="28" borderId="13" xfId="203" applyFont="1" applyFill="1" applyBorder="1" applyAlignment="1">
      <alignment horizontal="center" vertical="center"/>
    </xf>
    <xf numFmtId="0" fontId="0" fillId="0" borderId="0" xfId="0" applyAlignment="1">
      <alignment horizontal="center" vertical="center" wrapText="1"/>
    </xf>
    <xf numFmtId="0" fontId="23" fillId="0" borderId="0" xfId="203" quotePrefix="1" applyAlignment="1">
      <alignment vertical="center"/>
    </xf>
    <xf numFmtId="0" fontId="23" fillId="0" borderId="13" xfId="203" applyBorder="1" applyAlignment="1">
      <alignment horizontal="center" vertical="center" wrapText="1"/>
    </xf>
    <xf numFmtId="170" fontId="45" fillId="28" borderId="13" xfId="203" applyNumberFormat="1" applyFont="1" applyFill="1" applyBorder="1" applyAlignment="1">
      <alignment horizontal="center" vertical="center" wrapText="1"/>
    </xf>
    <xf numFmtId="0" fontId="56" fillId="62" borderId="13" xfId="0" applyFont="1" applyFill="1" applyBorder="1" applyAlignment="1">
      <alignment horizontal="center" vertical="center" wrapText="1"/>
    </xf>
    <xf numFmtId="0" fontId="23" fillId="0" borderId="13" xfId="203" applyBorder="1" applyAlignment="1">
      <alignment vertical="center"/>
    </xf>
    <xf numFmtId="0" fontId="38" fillId="38" borderId="13" xfId="203" applyFont="1" applyFill="1" applyBorder="1" applyAlignment="1">
      <alignment horizontal="center" vertical="center"/>
    </xf>
    <xf numFmtId="0" fontId="38" fillId="0" borderId="0" xfId="203" applyFont="1" applyAlignment="1">
      <alignment horizontal="center" vertical="center"/>
    </xf>
    <xf numFmtId="0" fontId="45" fillId="0" borderId="0" xfId="203" applyFont="1" applyAlignment="1">
      <alignment horizontal="center" vertical="center" wrapText="1"/>
    </xf>
    <xf numFmtId="0" fontId="45" fillId="0" borderId="71" xfId="203" applyFont="1" applyBorder="1" applyAlignment="1">
      <alignment horizontal="center" vertical="center" wrapText="1"/>
    </xf>
    <xf numFmtId="0" fontId="52" fillId="0" borderId="60" xfId="203" applyFont="1" applyBorder="1" applyAlignment="1">
      <alignment horizontal="center" vertical="center" wrapText="1"/>
    </xf>
    <xf numFmtId="0" fontId="52" fillId="0" borderId="72" xfId="203" applyFont="1" applyBorder="1" applyAlignment="1">
      <alignment horizontal="center" vertical="center" wrapText="1"/>
    </xf>
    <xf numFmtId="0" fontId="56" fillId="0" borderId="0" xfId="0" applyFont="1" applyAlignment="1">
      <alignment horizontal="center" vertical="center"/>
    </xf>
    <xf numFmtId="0" fontId="38" fillId="0" borderId="0" xfId="203" applyFont="1" applyAlignment="1">
      <alignment horizontal="center" vertical="center" wrapText="1"/>
    </xf>
    <xf numFmtId="0" fontId="38" fillId="38" borderId="12" xfId="203" applyFont="1" applyFill="1" applyBorder="1" applyAlignment="1">
      <alignment horizontal="center" vertical="center" wrapText="1"/>
    </xf>
    <xf numFmtId="0" fontId="23" fillId="0" borderId="0" xfId="203" applyAlignment="1">
      <alignment wrapText="1"/>
    </xf>
    <xf numFmtId="0" fontId="38" fillId="38" borderId="107" xfId="203" applyFont="1" applyFill="1" applyBorder="1" applyAlignment="1">
      <alignment horizontal="center" vertical="center" wrapText="1"/>
    </xf>
    <xf numFmtId="0" fontId="38" fillId="38" borderId="16" xfId="203" applyFont="1" applyFill="1" applyBorder="1" applyAlignment="1">
      <alignment horizontal="center" vertical="center" wrapText="1"/>
    </xf>
    <xf numFmtId="0" fontId="38" fillId="38" borderId="66" xfId="203" applyFont="1" applyFill="1" applyBorder="1" applyAlignment="1">
      <alignment vertical="center"/>
    </xf>
    <xf numFmtId="0" fontId="45" fillId="0" borderId="86" xfId="203" applyFont="1" applyBorder="1" applyAlignment="1">
      <alignment horizontal="center" vertical="center" wrapText="1"/>
    </xf>
    <xf numFmtId="0" fontId="23" fillId="0" borderId="27" xfId="203" applyBorder="1" applyAlignment="1">
      <alignment horizontal="right"/>
    </xf>
    <xf numFmtId="0" fontId="23" fillId="25" borderId="93" xfId="97" applyFont="1" applyFill="1" applyBorder="1" applyAlignment="1">
      <alignment horizontal="center" vertical="center"/>
    </xf>
    <xf numFmtId="1" fontId="45" fillId="28" borderId="43" xfId="203" applyNumberFormat="1" applyFont="1" applyFill="1" applyBorder="1" applyAlignment="1">
      <alignment horizontal="center" vertical="center" wrapText="1"/>
    </xf>
    <xf numFmtId="0" fontId="45" fillId="0" borderId="80" xfId="203" applyFont="1" applyBorder="1" applyAlignment="1">
      <alignment horizontal="center" vertical="center" wrapText="1"/>
    </xf>
    <xf numFmtId="0" fontId="41" fillId="28" borderId="107" xfId="203" applyFont="1" applyFill="1" applyBorder="1"/>
    <xf numFmtId="0" fontId="41" fillId="28" borderId="12" xfId="203" applyFont="1" applyFill="1" applyBorder="1"/>
    <xf numFmtId="0" fontId="41" fillId="28" borderId="105" xfId="203" applyFont="1" applyFill="1" applyBorder="1"/>
    <xf numFmtId="0" fontId="45" fillId="0" borderId="77" xfId="203" applyFont="1" applyBorder="1" applyAlignment="1">
      <alignment horizontal="center" vertical="center" wrapText="1"/>
    </xf>
    <xf numFmtId="2" fontId="52" fillId="28" borderId="28" xfId="203" applyNumberFormat="1" applyFont="1" applyFill="1" applyBorder="1" applyAlignment="1">
      <alignment horizontal="center" vertical="center" wrapText="1"/>
    </xf>
    <xf numFmtId="0" fontId="74" fillId="0" borderId="65" xfId="203" applyFont="1" applyBorder="1" applyAlignment="1">
      <alignment horizontal="center" vertical="center" wrapText="1"/>
    </xf>
    <xf numFmtId="0" fontId="75" fillId="28" borderId="41" xfId="203" applyFont="1" applyFill="1" applyBorder="1" applyAlignment="1">
      <alignment horizontal="center" vertical="center" wrapText="1"/>
    </xf>
    <xf numFmtId="0" fontId="35" fillId="0" borderId="0" xfId="203" applyFont="1" applyAlignment="1">
      <alignment horizontal="center" vertical="center"/>
    </xf>
    <xf numFmtId="0" fontId="74" fillId="0" borderId="0" xfId="203" applyFont="1" applyAlignment="1">
      <alignment horizontal="left" vertical="top" wrapText="1"/>
    </xf>
    <xf numFmtId="0" fontId="23" fillId="25" borderId="45" xfId="359" applyFont="1" applyFill="1" applyBorder="1" applyAlignment="1" applyProtection="1">
      <alignment horizontal="center" vertical="center" wrapText="1"/>
    </xf>
    <xf numFmtId="0" fontId="65" fillId="28" borderId="13" xfId="203" applyFont="1" applyFill="1" applyBorder="1" applyAlignment="1">
      <alignment horizontal="center" vertical="center"/>
    </xf>
    <xf numFmtId="170" fontId="92" fillId="28" borderId="13" xfId="203" applyNumberFormat="1" applyFont="1" applyFill="1" applyBorder="1" applyAlignment="1">
      <alignment horizontal="center" vertical="center" wrapText="1"/>
    </xf>
    <xf numFmtId="1" fontId="92" fillId="28" borderId="13" xfId="203" applyNumberFormat="1" applyFont="1" applyFill="1" applyBorder="1" applyAlignment="1">
      <alignment horizontal="center" vertical="center" wrapText="1"/>
    </xf>
    <xf numFmtId="0" fontId="23" fillId="0" borderId="0" xfId="348" applyFont="1"/>
    <xf numFmtId="0" fontId="70" fillId="0" borderId="39" xfId="0" applyFont="1" applyBorder="1" applyAlignment="1">
      <alignment vertical="center"/>
    </xf>
    <xf numFmtId="1" fontId="36" fillId="28" borderId="13" xfId="200" applyNumberFormat="1" applyFont="1" applyFill="1" applyBorder="1" applyAlignment="1">
      <alignment horizontal="center" vertical="center"/>
    </xf>
    <xf numFmtId="2" fontId="36" fillId="50" borderId="13" xfId="365" applyNumberFormat="1" applyFont="1" applyFill="1" applyBorder="1" applyAlignment="1">
      <alignment horizontal="center" vertical="center" wrapText="1"/>
    </xf>
    <xf numFmtId="0" fontId="5" fillId="0" borderId="0" xfId="364" applyFont="1"/>
    <xf numFmtId="0" fontId="5" fillId="0" borderId="0" xfId="364" applyFont="1" applyAlignment="1">
      <alignment wrapText="1"/>
    </xf>
    <xf numFmtId="0" fontId="35" fillId="50" borderId="67" xfId="365" applyFont="1" applyFill="1" applyBorder="1" applyAlignment="1">
      <alignment vertical="center" wrapText="1"/>
    </xf>
    <xf numFmtId="0" fontId="35" fillId="50" borderId="29" xfId="365" applyFont="1" applyFill="1" applyBorder="1" applyAlignment="1">
      <alignment vertical="center" wrapText="1"/>
    </xf>
    <xf numFmtId="0" fontId="35" fillId="53" borderId="67" xfId="365" applyFont="1" applyFill="1" applyBorder="1" applyAlignment="1">
      <alignment vertical="center" wrapText="1"/>
    </xf>
    <xf numFmtId="0" fontId="35" fillId="53" borderId="29" xfId="365" applyFont="1" applyFill="1" applyBorder="1" applyAlignment="1">
      <alignment vertical="center" wrapText="1"/>
    </xf>
    <xf numFmtId="166" fontId="35" fillId="0" borderId="0" xfId="365" applyNumberFormat="1" applyFont="1" applyAlignment="1">
      <alignment horizontal="center" vertical="center" wrapText="1"/>
    </xf>
    <xf numFmtId="0" fontId="35" fillId="53" borderId="72" xfId="365" applyFont="1" applyFill="1" applyBorder="1" applyAlignment="1">
      <alignment vertical="center" wrapText="1"/>
    </xf>
    <xf numFmtId="0" fontId="35" fillId="53" borderId="79" xfId="365" applyFont="1" applyFill="1" applyBorder="1" applyAlignment="1">
      <alignment vertical="center" wrapText="1"/>
    </xf>
    <xf numFmtId="0" fontId="35" fillId="56" borderId="67" xfId="365" applyFont="1" applyFill="1" applyBorder="1" applyAlignment="1">
      <alignment vertical="center" wrapText="1"/>
    </xf>
    <xf numFmtId="0" fontId="35" fillId="56" borderId="29" xfId="365" applyFont="1" applyFill="1" applyBorder="1" applyAlignment="1">
      <alignment vertical="center" wrapText="1"/>
    </xf>
    <xf numFmtId="0" fontId="35" fillId="64" borderId="67" xfId="365" applyFont="1" applyFill="1" applyBorder="1" applyAlignment="1">
      <alignment vertical="center" wrapText="1"/>
    </xf>
    <xf numFmtId="0" fontId="35" fillId="64" borderId="29" xfId="365" applyFont="1" applyFill="1" applyBorder="1" applyAlignment="1">
      <alignment vertical="center" wrapText="1"/>
    </xf>
    <xf numFmtId="0" fontId="36" fillId="36" borderId="12" xfId="203" applyFont="1" applyFill="1" applyBorder="1" applyAlignment="1">
      <alignment vertical="center"/>
    </xf>
    <xf numFmtId="1" fontId="36" fillId="36" borderId="66" xfId="203" applyNumberFormat="1" applyFont="1" applyFill="1" applyBorder="1" applyAlignment="1">
      <alignment horizontal="center" vertical="center"/>
    </xf>
    <xf numFmtId="0" fontId="36" fillId="36" borderId="84" xfId="203" applyFont="1" applyFill="1" applyBorder="1" applyAlignment="1">
      <alignment vertical="center"/>
    </xf>
    <xf numFmtId="1" fontId="36" fillId="36" borderId="12" xfId="203" applyNumberFormat="1" applyFont="1" applyFill="1" applyBorder="1" applyAlignment="1">
      <alignment horizontal="center" vertical="center"/>
    </xf>
    <xf numFmtId="0" fontId="0" fillId="0" borderId="83" xfId="0" applyBorder="1" applyAlignment="1">
      <alignment vertical="center"/>
    </xf>
    <xf numFmtId="0" fontId="70" fillId="0" borderId="83" xfId="0" applyFont="1" applyBorder="1" applyAlignment="1">
      <alignment vertical="center"/>
    </xf>
    <xf numFmtId="1" fontId="51" fillId="0" borderId="0" xfId="288" applyNumberFormat="1" applyFont="1"/>
    <xf numFmtId="0" fontId="57" fillId="0" borderId="0" xfId="288" applyFont="1"/>
    <xf numFmtId="0" fontId="57" fillId="0" borderId="0" xfId="288" applyFont="1" applyAlignment="1">
      <alignment vertical="center"/>
    </xf>
    <xf numFmtId="0" fontId="81" fillId="0" borderId="0" xfId="288" applyFont="1" applyAlignment="1" applyProtection="1">
      <alignment horizontal="left" vertical="center"/>
      <protection locked="0"/>
    </xf>
    <xf numFmtId="0" fontId="58" fillId="0" borderId="0" xfId="288" applyFont="1"/>
    <xf numFmtId="0" fontId="54" fillId="0" borderId="0" xfId="0" applyFont="1" applyAlignment="1">
      <alignment vertical="center" wrapText="1"/>
    </xf>
    <xf numFmtId="0" fontId="70" fillId="0" borderId="0" xfId="288" applyFont="1" applyAlignment="1">
      <alignment horizontal="left" vertical="center"/>
    </xf>
    <xf numFmtId="166" fontId="54" fillId="0" borderId="0" xfId="288" applyNumberFormat="1" applyFont="1" applyAlignment="1">
      <alignment vertical="center"/>
    </xf>
    <xf numFmtId="0" fontId="55" fillId="0" borderId="0" xfId="288" applyFont="1"/>
    <xf numFmtId="0" fontId="54" fillId="0" borderId="0" xfId="288" applyFont="1" applyAlignment="1">
      <alignment horizontal="center" vertical="center"/>
    </xf>
    <xf numFmtId="0" fontId="60" fillId="0" borderId="0" xfId="288" applyFont="1" applyAlignment="1">
      <alignment horizontal="center"/>
    </xf>
    <xf numFmtId="0" fontId="70" fillId="0" borderId="0" xfId="288" applyFont="1" applyAlignment="1">
      <alignment vertical="center"/>
    </xf>
    <xf numFmtId="0" fontId="70" fillId="0" borderId="0" xfId="288" applyFont="1" applyAlignment="1">
      <alignment horizontal="right" vertical="center"/>
    </xf>
    <xf numFmtId="0" fontId="23" fillId="25" borderId="28" xfId="97" applyFont="1" applyFill="1" applyBorder="1" applyAlignment="1">
      <alignment horizontal="center" vertical="center"/>
    </xf>
    <xf numFmtId="0" fontId="23" fillId="25" borderId="29" xfId="97" applyFont="1" applyFill="1" applyBorder="1" applyAlignment="1">
      <alignment horizontal="center" vertical="center"/>
    </xf>
    <xf numFmtId="0" fontId="23" fillId="25" borderId="26" xfId="97" applyFont="1" applyFill="1" applyBorder="1" applyAlignment="1">
      <alignment horizontal="center" vertical="center"/>
    </xf>
    <xf numFmtId="4" fontId="36" fillId="25" borderId="13" xfId="111" applyNumberFormat="1" applyFont="1" applyFill="1" applyBorder="1" applyAlignment="1" applyProtection="1">
      <alignment horizontal="center"/>
      <protection locked="0"/>
    </xf>
    <xf numFmtId="0" fontId="89" fillId="0" borderId="13" xfId="365" applyFont="1" applyBorder="1" applyAlignment="1">
      <alignment vertical="center" wrapText="1"/>
    </xf>
    <xf numFmtId="0" fontId="70" fillId="0" borderId="0" xfId="365" applyAlignment="1">
      <alignment horizontal="center"/>
    </xf>
    <xf numFmtId="0" fontId="56" fillId="0" borderId="13" xfId="365" applyFont="1" applyBorder="1"/>
    <xf numFmtId="0" fontId="70" fillId="0" borderId="0" xfId="365" applyAlignment="1">
      <alignment horizontal="left" wrapText="1"/>
    </xf>
    <xf numFmtId="0" fontId="70" fillId="0" borderId="0" xfId="365" applyAlignment="1">
      <alignment vertical="top" wrapText="1"/>
    </xf>
    <xf numFmtId="0" fontId="88" fillId="37" borderId="13" xfId="155" quotePrefix="1" applyFont="1" applyFill="1" applyBorder="1" applyAlignment="1">
      <alignment vertical="center"/>
    </xf>
    <xf numFmtId="0" fontId="70" fillId="0" borderId="0" xfId="365" applyAlignment="1">
      <alignment vertical="center"/>
    </xf>
    <xf numFmtId="0" fontId="35" fillId="50" borderId="60" xfId="365" applyFont="1" applyFill="1" applyBorder="1" applyAlignment="1">
      <alignment horizontal="center" vertical="center" wrapText="1"/>
    </xf>
    <xf numFmtId="0" fontId="56" fillId="0" borderId="71" xfId="0" applyFont="1" applyBorder="1" applyAlignment="1">
      <alignment horizontal="center" vertical="center"/>
    </xf>
    <xf numFmtId="164" fontId="56" fillId="0" borderId="60" xfId="0" applyNumberFormat="1" applyFont="1" applyBorder="1" applyAlignment="1">
      <alignment horizontal="center" vertical="center"/>
    </xf>
    <xf numFmtId="0" fontId="56" fillId="0" borderId="60" xfId="0" applyFont="1" applyBorder="1" applyAlignment="1">
      <alignment horizontal="center" vertical="center" wrapText="1"/>
    </xf>
    <xf numFmtId="0" fontId="36" fillId="25" borderId="108" xfId="97" applyFont="1" applyFill="1" applyBorder="1" applyAlignment="1" applyProtection="1">
      <alignment horizontal="center" vertical="center"/>
      <protection locked="0"/>
    </xf>
    <xf numFmtId="0" fontId="97" fillId="0" borderId="0" xfId="366" applyFont="1" applyAlignment="1">
      <alignment horizontal="left" vertical="center"/>
    </xf>
    <xf numFmtId="0" fontId="99" fillId="0" borderId="0" xfId="367" applyFont="1" applyAlignment="1">
      <alignment horizontal="center"/>
    </xf>
    <xf numFmtId="0" fontId="98" fillId="0" borderId="0" xfId="367" applyAlignment="1">
      <alignment horizontal="center"/>
    </xf>
    <xf numFmtId="0" fontId="98" fillId="0" borderId="0" xfId="367"/>
    <xf numFmtId="0" fontId="98" fillId="0" borderId="37" xfId="367" applyBorder="1"/>
    <xf numFmtId="0" fontId="99" fillId="0" borderId="49" xfId="367" applyFont="1" applyBorder="1"/>
    <xf numFmtId="0" fontId="99" fillId="0" borderId="0" xfId="367" applyFont="1"/>
    <xf numFmtId="0" fontId="98" fillId="0" borderId="49" xfId="367" applyBorder="1" applyAlignment="1">
      <alignment horizontal="center"/>
    </xf>
    <xf numFmtId="0" fontId="98" fillId="0" borderId="59" xfId="367" applyBorder="1"/>
    <xf numFmtId="0" fontId="100" fillId="67" borderId="52" xfId="367" applyFont="1" applyFill="1" applyBorder="1" applyAlignment="1">
      <alignment horizontal="center"/>
    </xf>
    <xf numFmtId="0" fontId="101" fillId="67" borderId="35" xfId="367" applyFont="1" applyFill="1" applyBorder="1" applyAlignment="1">
      <alignment horizontal="center" wrapText="1"/>
    </xf>
    <xf numFmtId="0" fontId="101" fillId="67" borderId="36" xfId="367" applyFont="1" applyFill="1" applyBorder="1" applyAlignment="1">
      <alignment horizontal="center"/>
    </xf>
    <xf numFmtId="0" fontId="98" fillId="0" borderId="108" xfId="367" applyBorder="1"/>
    <xf numFmtId="0" fontId="100" fillId="0" borderId="39" xfId="367" applyFont="1" applyBorder="1" applyAlignment="1">
      <alignment vertical="center"/>
    </xf>
    <xf numFmtId="0" fontId="107" fillId="0" borderId="108" xfId="367" applyFont="1" applyBorder="1"/>
    <xf numFmtId="0" fontId="107" fillId="0" borderId="0" xfId="367" applyFont="1"/>
    <xf numFmtId="0" fontId="99" fillId="0" borderId="49" xfId="367" applyFont="1" applyBorder="1" applyAlignment="1">
      <alignment horizontal="center"/>
    </xf>
    <xf numFmtId="0" fontId="98" fillId="0" borderId="49" xfId="367" applyBorder="1"/>
    <xf numFmtId="0" fontId="98" fillId="0" borderId="80" xfId="367" applyBorder="1"/>
    <xf numFmtId="9" fontId="100" fillId="70" borderId="47" xfId="367" applyNumberFormat="1" applyFont="1" applyFill="1" applyBorder="1" applyAlignment="1">
      <alignment horizontal="center" vertical="center"/>
    </xf>
    <xf numFmtId="0" fontId="100" fillId="70" borderId="48" xfId="367" applyFont="1" applyFill="1" applyBorder="1" applyAlignment="1">
      <alignment horizontal="center" vertical="center"/>
    </xf>
    <xf numFmtId="9" fontId="100" fillId="69" borderId="13" xfId="367" applyNumberFormat="1" applyFont="1" applyFill="1" applyBorder="1" applyAlignment="1" applyProtection="1">
      <alignment horizontal="center"/>
      <protection locked="0"/>
    </xf>
    <xf numFmtId="0" fontId="100" fillId="0" borderId="81" xfId="367" applyFont="1" applyBorder="1" applyAlignment="1" applyProtection="1">
      <alignment horizontal="center"/>
      <protection locked="0"/>
    </xf>
    <xf numFmtId="0" fontId="101" fillId="0" borderId="81" xfId="367" applyFont="1" applyBorder="1" applyAlignment="1" applyProtection="1">
      <alignment horizontal="center"/>
      <protection locked="0"/>
    </xf>
    <xf numFmtId="0" fontId="101" fillId="0" borderId="54" xfId="367" applyFont="1" applyBorder="1" applyAlignment="1" applyProtection="1">
      <alignment horizontal="center"/>
      <protection locked="0"/>
    </xf>
    <xf numFmtId="0" fontId="101" fillId="0" borderId="13" xfId="367" applyFont="1" applyBorder="1" applyProtection="1">
      <protection locked="0"/>
    </xf>
    <xf numFmtId="0" fontId="100" fillId="0" borderId="73" xfId="367" applyFont="1" applyBorder="1" applyProtection="1">
      <protection locked="0"/>
    </xf>
    <xf numFmtId="0" fontId="95" fillId="0" borderId="13" xfId="369" applyFont="1" applyBorder="1" applyAlignment="1" applyProtection="1">
      <alignment vertical="center"/>
      <protection locked="0"/>
    </xf>
    <xf numFmtId="0" fontId="100" fillId="0" borderId="60" xfId="367" applyFont="1" applyBorder="1" applyAlignment="1" applyProtection="1">
      <alignment horizontal="center"/>
      <protection locked="0"/>
    </xf>
    <xf numFmtId="0" fontId="23" fillId="69" borderId="13" xfId="370" applyFont="1" applyFill="1" applyBorder="1" applyAlignment="1" applyProtection="1">
      <alignment horizontal="center" vertical="center"/>
      <protection locked="0"/>
    </xf>
    <xf numFmtId="0" fontId="23" fillId="0" borderId="13" xfId="367" applyFont="1" applyBorder="1" applyAlignment="1" applyProtection="1">
      <alignment wrapText="1"/>
      <protection locked="0"/>
    </xf>
    <xf numFmtId="0" fontId="100" fillId="0" borderId="80" xfId="367" applyFont="1" applyBorder="1" applyProtection="1">
      <protection locked="0"/>
    </xf>
    <xf numFmtId="0" fontId="100" fillId="0" borderId="62" xfId="367" applyFont="1" applyBorder="1" applyAlignment="1" applyProtection="1">
      <alignment horizontal="center"/>
      <protection locked="0"/>
    </xf>
    <xf numFmtId="0" fontId="100" fillId="0" borderId="86" xfId="367" applyFont="1" applyBorder="1" applyProtection="1">
      <protection locked="0"/>
    </xf>
    <xf numFmtId="0" fontId="100" fillId="0" borderId="27" xfId="367" applyFont="1" applyBorder="1" applyAlignment="1" applyProtection="1">
      <alignment horizontal="center"/>
      <protection locked="0"/>
    </xf>
    <xf numFmtId="9" fontId="100" fillId="69" borderId="67" xfId="367" applyNumberFormat="1" applyFont="1" applyFill="1" applyBorder="1" applyAlignment="1" applyProtection="1">
      <alignment horizontal="center"/>
      <protection locked="0"/>
    </xf>
    <xf numFmtId="0" fontId="100" fillId="0" borderId="67" xfId="367" applyFont="1" applyBorder="1" applyAlignment="1" applyProtection="1">
      <alignment horizontal="center"/>
      <protection locked="0"/>
    </xf>
    <xf numFmtId="0" fontId="65" fillId="0" borderId="81" xfId="367" applyFont="1" applyBorder="1" applyAlignment="1" applyProtection="1">
      <alignment horizontal="center"/>
      <protection locked="0"/>
    </xf>
    <xf numFmtId="0" fontId="100" fillId="0" borderId="71" xfId="367" applyFont="1" applyBorder="1" applyProtection="1">
      <protection locked="0"/>
    </xf>
    <xf numFmtId="0" fontId="95" fillId="0" borderId="28" xfId="369" applyFont="1" applyBorder="1" applyAlignment="1" applyProtection="1">
      <alignment vertical="center"/>
      <protection locked="0"/>
    </xf>
    <xf numFmtId="0" fontId="100" fillId="0" borderId="74" xfId="367" applyFont="1" applyBorder="1" applyProtection="1">
      <protection locked="0"/>
    </xf>
    <xf numFmtId="0" fontId="100" fillId="0" borderId="77" xfId="367" applyFont="1" applyBorder="1" applyProtection="1">
      <protection locked="0"/>
    </xf>
    <xf numFmtId="0" fontId="23" fillId="0" borderId="13" xfId="367" applyFont="1" applyBorder="1" applyProtection="1">
      <protection locked="0"/>
    </xf>
    <xf numFmtId="9" fontId="100" fillId="69" borderId="72" xfId="367" applyNumberFormat="1" applyFont="1" applyFill="1" applyBorder="1" applyAlignment="1" applyProtection="1">
      <alignment horizontal="center"/>
      <protection locked="0"/>
    </xf>
    <xf numFmtId="9" fontId="104" fillId="0" borderId="67" xfId="367" applyNumberFormat="1" applyFont="1" applyBorder="1" applyAlignment="1" applyProtection="1">
      <alignment horizontal="center"/>
      <protection locked="0"/>
    </xf>
    <xf numFmtId="9" fontId="100" fillId="69" borderId="29" xfId="367" applyNumberFormat="1" applyFont="1" applyFill="1" applyBorder="1" applyAlignment="1" applyProtection="1">
      <alignment horizontal="center"/>
      <protection locked="0"/>
    </xf>
    <xf numFmtId="0" fontId="95" fillId="0" borderId="27" xfId="369" applyFont="1" applyBorder="1" applyAlignment="1" applyProtection="1">
      <alignment vertical="center"/>
      <protection locked="0"/>
    </xf>
    <xf numFmtId="0" fontId="101" fillId="0" borderId="40" xfId="367" applyFont="1" applyBorder="1" applyAlignment="1">
      <alignment horizontal="center"/>
    </xf>
    <xf numFmtId="0" fontId="101" fillId="0" borderId="54" xfId="367" applyFont="1" applyBorder="1" applyAlignment="1">
      <alignment horizontal="center"/>
    </xf>
    <xf numFmtId="0" fontId="39" fillId="0" borderId="0" xfId="0" applyFont="1" applyAlignment="1">
      <alignment vertical="top"/>
    </xf>
    <xf numFmtId="0" fontId="40" fillId="0" borderId="0" xfId="0" applyFont="1" applyAlignment="1">
      <alignment vertical="top"/>
    </xf>
    <xf numFmtId="0" fontId="36" fillId="31" borderId="27" xfId="365" applyFont="1" applyFill="1" applyBorder="1" applyAlignment="1">
      <alignment vertical="center" wrapText="1"/>
    </xf>
    <xf numFmtId="0" fontId="36" fillId="31" borderId="27" xfId="365" applyFont="1" applyFill="1" applyBorder="1" applyAlignment="1">
      <alignment horizontal="center" vertical="center" wrapText="1"/>
    </xf>
    <xf numFmtId="0" fontId="89" fillId="49" borderId="60" xfId="365" applyFont="1" applyFill="1" applyBorder="1" applyAlignment="1">
      <alignment vertical="center" wrapText="1"/>
    </xf>
    <xf numFmtId="0" fontId="36" fillId="49" borderId="60" xfId="365" applyFont="1" applyFill="1" applyBorder="1" applyAlignment="1">
      <alignment horizontal="center" vertical="center" wrapText="1"/>
    </xf>
    <xf numFmtId="1" fontId="36" fillId="37" borderId="60" xfId="365" applyNumberFormat="1" applyFont="1" applyFill="1" applyBorder="1" applyAlignment="1">
      <alignment horizontal="center" vertical="center" wrapText="1"/>
    </xf>
    <xf numFmtId="0" fontId="36" fillId="49" borderId="27" xfId="365" applyFont="1" applyFill="1" applyBorder="1" applyAlignment="1">
      <alignment horizontal="left" vertical="center" wrapText="1"/>
    </xf>
    <xf numFmtId="0" fontId="36" fillId="49" borderId="27" xfId="365" applyFont="1" applyFill="1" applyBorder="1" applyAlignment="1">
      <alignment horizontal="center" vertical="center" wrapText="1"/>
    </xf>
    <xf numFmtId="0" fontId="35" fillId="46" borderId="29" xfId="365" applyFont="1" applyFill="1" applyBorder="1" applyAlignment="1">
      <alignment horizontal="center" vertical="center" wrapText="1"/>
    </xf>
    <xf numFmtId="0" fontId="89" fillId="52" borderId="60" xfId="365" applyFont="1" applyFill="1" applyBorder="1" applyAlignment="1">
      <alignment vertical="center" wrapText="1"/>
    </xf>
    <xf numFmtId="0" fontId="36" fillId="52" borderId="60" xfId="365" applyFont="1" applyFill="1" applyBorder="1" applyAlignment="1">
      <alignment horizontal="center" vertical="center" wrapText="1"/>
    </xf>
    <xf numFmtId="1" fontId="36" fillId="54" borderId="81" xfId="365" applyNumberFormat="1" applyFont="1" applyFill="1" applyBorder="1" applyAlignment="1">
      <alignment horizontal="center" vertical="center" wrapText="1"/>
    </xf>
    <xf numFmtId="0" fontId="70" fillId="0" borderId="81" xfId="365" applyBorder="1"/>
    <xf numFmtId="1" fontId="36" fillId="0" borderId="81" xfId="365" applyNumberFormat="1" applyFont="1" applyBorder="1" applyAlignment="1">
      <alignment horizontal="center" vertical="center" wrapText="1"/>
    </xf>
    <xf numFmtId="1" fontId="36" fillId="54" borderId="29" xfId="365" applyNumberFormat="1" applyFont="1" applyFill="1" applyBorder="1" applyAlignment="1">
      <alignment horizontal="center" vertical="center" wrapText="1"/>
    </xf>
    <xf numFmtId="0" fontId="36" fillId="52" borderId="62" xfId="365" applyFont="1" applyFill="1" applyBorder="1" applyAlignment="1">
      <alignment horizontal="center" vertical="center" wrapText="1"/>
    </xf>
    <xf numFmtId="0" fontId="35" fillId="53" borderId="29" xfId="365" applyFont="1" applyFill="1" applyBorder="1" applyAlignment="1">
      <alignment horizontal="center" vertical="center" wrapText="1"/>
    </xf>
    <xf numFmtId="0" fontId="36" fillId="52" borderId="62" xfId="365" applyFont="1" applyFill="1" applyBorder="1" applyAlignment="1">
      <alignment vertical="center" wrapText="1"/>
    </xf>
    <xf numFmtId="0" fontId="36" fillId="54" borderId="81" xfId="365" applyFont="1" applyFill="1" applyBorder="1" applyAlignment="1">
      <alignment horizontal="center" vertical="center" wrapText="1"/>
    </xf>
    <xf numFmtId="0" fontId="89" fillId="31" borderId="27" xfId="365" applyFont="1" applyFill="1" applyBorder="1" applyAlignment="1">
      <alignment vertical="center" wrapText="1"/>
    </xf>
    <xf numFmtId="0" fontId="36" fillId="65" borderId="81" xfId="365" applyFont="1" applyFill="1" applyBorder="1" applyAlignment="1">
      <alignment horizontal="center" vertical="center" wrapText="1"/>
    </xf>
    <xf numFmtId="0" fontId="70" fillId="65" borderId="81" xfId="365" applyFill="1" applyBorder="1"/>
    <xf numFmtId="1" fontId="36" fillId="65" borderId="81" xfId="365" applyNumberFormat="1" applyFont="1" applyFill="1" applyBorder="1" applyAlignment="1">
      <alignment horizontal="center" vertical="center" wrapText="1"/>
    </xf>
    <xf numFmtId="0" fontId="35" fillId="65" borderId="29" xfId="365" applyFont="1" applyFill="1" applyBorder="1" applyAlignment="1">
      <alignment horizontal="center" vertical="center" wrapText="1"/>
    </xf>
    <xf numFmtId="2" fontId="35" fillId="50" borderId="60" xfId="363" applyNumberFormat="1" applyFont="1" applyFill="1" applyBorder="1" applyAlignment="1">
      <alignment horizontal="center" vertical="center" wrapText="1"/>
    </xf>
    <xf numFmtId="1" fontId="36" fillId="0" borderId="60" xfId="365" applyNumberFormat="1" applyFont="1" applyBorder="1" applyAlignment="1">
      <alignment horizontal="center" vertical="center" wrapText="1"/>
    </xf>
    <xf numFmtId="0" fontId="70" fillId="54" borderId="81" xfId="365" applyFill="1" applyBorder="1"/>
    <xf numFmtId="1" fontId="36" fillId="57" borderId="29" xfId="365" applyNumberFormat="1" applyFont="1" applyFill="1" applyBorder="1" applyAlignment="1">
      <alignment horizontal="center" vertical="center" wrapText="1"/>
    </xf>
    <xf numFmtId="1" fontId="36" fillId="57" borderId="81" xfId="365" applyNumberFormat="1" applyFont="1" applyFill="1" applyBorder="1" applyAlignment="1">
      <alignment horizontal="center" vertical="center" wrapText="1"/>
    </xf>
    <xf numFmtId="0" fontId="35" fillId="50" borderId="81" xfId="365" applyFont="1" applyFill="1" applyBorder="1" applyAlignment="1">
      <alignment horizontal="center" vertical="center" wrapText="1"/>
    </xf>
    <xf numFmtId="0" fontId="35" fillId="50" borderId="29" xfId="365" applyFont="1" applyFill="1" applyBorder="1" applyAlignment="1">
      <alignment horizontal="center" vertical="center" wrapText="1"/>
    </xf>
    <xf numFmtId="10" fontId="35" fillId="65" borderId="81" xfId="365" applyNumberFormat="1" applyFont="1" applyFill="1" applyBorder="1" applyAlignment="1">
      <alignment horizontal="center" vertical="center" wrapText="1"/>
    </xf>
    <xf numFmtId="0" fontId="38" fillId="38" borderId="13" xfId="203" applyFont="1" applyFill="1" applyBorder="1" applyAlignment="1">
      <alignment horizontal="center" vertical="center" wrapText="1"/>
    </xf>
    <xf numFmtId="0" fontId="53" fillId="0" borderId="13" xfId="365" applyFont="1" applyBorder="1"/>
    <xf numFmtId="0" fontId="53" fillId="0" borderId="13" xfId="365" applyFont="1" applyBorder="1" applyAlignment="1">
      <alignment vertical="center"/>
    </xf>
    <xf numFmtId="0" fontId="41" fillId="28" borderId="15" xfId="203" applyFont="1" applyFill="1" applyBorder="1"/>
    <xf numFmtId="0" fontId="38" fillId="38" borderId="15" xfId="203" applyFont="1" applyFill="1" applyBorder="1" applyAlignment="1">
      <alignment horizontal="center" vertical="center" wrapText="1"/>
    </xf>
    <xf numFmtId="2" fontId="52" fillId="28" borderId="59" xfId="203" applyNumberFormat="1" applyFont="1" applyFill="1" applyBorder="1" applyAlignment="1">
      <alignment horizontal="center" vertical="center" wrapText="1"/>
    </xf>
    <xf numFmtId="0" fontId="38" fillId="38" borderId="89" xfId="203" applyFont="1" applyFill="1" applyBorder="1" applyAlignment="1">
      <alignment horizontal="center" vertical="center" wrapText="1"/>
    </xf>
    <xf numFmtId="0" fontId="38" fillId="28" borderId="83" xfId="203" applyFont="1" applyFill="1" applyBorder="1" applyAlignment="1">
      <alignment horizontal="center" vertical="center"/>
    </xf>
    <xf numFmtId="0" fontId="38" fillId="28" borderId="45" xfId="203" applyFont="1" applyFill="1" applyBorder="1" applyAlignment="1">
      <alignment horizontal="center" vertical="center"/>
    </xf>
    <xf numFmtId="0" fontId="38" fillId="28" borderId="64" xfId="203" applyFont="1" applyFill="1" applyBorder="1" applyAlignment="1">
      <alignment horizontal="center" vertical="center"/>
    </xf>
    <xf numFmtId="0" fontId="38" fillId="0" borderId="13" xfId="203" applyFont="1" applyBorder="1" applyAlignment="1">
      <alignment horizontal="center" vertical="center" wrapText="1"/>
    </xf>
    <xf numFmtId="0" fontId="65" fillId="0" borderId="13" xfId="203" applyFont="1" applyBorder="1" applyAlignment="1">
      <alignment horizontal="center" vertical="center"/>
    </xf>
    <xf numFmtId="0" fontId="35" fillId="0" borderId="13" xfId="203" applyFont="1" applyBorder="1" applyAlignment="1">
      <alignment horizontal="center" vertical="center" wrapText="1"/>
    </xf>
    <xf numFmtId="0" fontId="35" fillId="0" borderId="13" xfId="203" applyFont="1" applyBorder="1" applyAlignment="1">
      <alignment vertical="center"/>
    </xf>
    <xf numFmtId="0" fontId="38" fillId="35" borderId="13" xfId="203" applyFont="1" applyFill="1" applyBorder="1" applyAlignment="1">
      <alignment horizontal="center" vertical="center" wrapText="1"/>
    </xf>
    <xf numFmtId="0" fontId="70" fillId="45" borderId="13" xfId="365" applyFill="1" applyBorder="1"/>
    <xf numFmtId="0" fontId="35" fillId="64" borderId="13" xfId="365" applyFont="1" applyFill="1" applyBorder="1" applyAlignment="1">
      <alignment horizontal="center" vertical="center" wrapText="1"/>
    </xf>
    <xf numFmtId="1" fontId="36" fillId="37" borderId="27" xfId="365" applyNumberFormat="1" applyFont="1" applyFill="1" applyBorder="1" applyAlignment="1">
      <alignment horizontal="center" vertical="center" wrapText="1"/>
    </xf>
    <xf numFmtId="1" fontId="36" fillId="52" borderId="60" xfId="365" applyNumberFormat="1" applyFont="1" applyFill="1" applyBorder="1" applyAlignment="1">
      <alignment horizontal="center" vertical="center" wrapText="1"/>
    </xf>
    <xf numFmtId="1" fontId="36" fillId="52" borderId="62" xfId="365" applyNumberFormat="1" applyFont="1" applyFill="1" applyBorder="1" applyAlignment="1">
      <alignment horizontal="center" vertical="center" wrapText="1"/>
    </xf>
    <xf numFmtId="1" fontId="35" fillId="71" borderId="13" xfId="365" applyNumberFormat="1" applyFont="1" applyFill="1" applyBorder="1" applyAlignment="1">
      <alignment horizontal="center" vertical="center" wrapText="1"/>
    </xf>
    <xf numFmtId="1" fontId="35" fillId="65" borderId="13" xfId="365" applyNumberFormat="1" applyFont="1" applyFill="1" applyBorder="1" applyAlignment="1">
      <alignment horizontal="center" vertical="center" wrapText="1"/>
    </xf>
    <xf numFmtId="0" fontId="41" fillId="28" borderId="15" xfId="203" applyFont="1" applyFill="1" applyBorder="1" applyAlignment="1">
      <alignment horizontal="center"/>
    </xf>
    <xf numFmtId="0" fontId="41" fillId="28" borderId="98" xfId="203" applyFont="1" applyFill="1" applyBorder="1" applyAlignment="1">
      <alignment horizontal="center"/>
    </xf>
    <xf numFmtId="0" fontId="41" fillId="28" borderId="105" xfId="203" applyFont="1" applyFill="1" applyBorder="1" applyAlignment="1">
      <alignment horizontal="center"/>
    </xf>
    <xf numFmtId="0" fontId="36" fillId="49" borderId="13" xfId="365" applyFont="1" applyFill="1" applyBorder="1" applyAlignment="1">
      <alignment horizontal="left" vertical="center" wrapText="1"/>
    </xf>
    <xf numFmtId="0" fontId="70" fillId="31" borderId="81" xfId="365" applyFill="1" applyBorder="1"/>
    <xf numFmtId="0" fontId="36" fillId="31" borderId="13" xfId="365" applyFont="1" applyFill="1" applyBorder="1" applyAlignment="1">
      <alignment horizontal="left" vertical="center" wrapText="1"/>
    </xf>
    <xf numFmtId="0" fontId="89" fillId="52" borderId="13" xfId="365" applyFont="1" applyFill="1" applyBorder="1" applyAlignment="1">
      <alignment vertical="center" wrapText="1"/>
    </xf>
    <xf numFmtId="1" fontId="36" fillId="52" borderId="13" xfId="365" applyNumberFormat="1" applyFont="1" applyFill="1" applyBorder="1" applyAlignment="1">
      <alignment horizontal="center" vertical="center" wrapText="1"/>
    </xf>
    <xf numFmtId="0" fontId="36" fillId="52" borderId="13" xfId="365" applyFont="1" applyFill="1" applyBorder="1" applyAlignment="1">
      <alignment vertical="center" wrapText="1"/>
    </xf>
    <xf numFmtId="0" fontId="36" fillId="58" borderId="13" xfId="365" applyFont="1" applyFill="1" applyBorder="1" applyAlignment="1">
      <alignment vertical="center" wrapText="1"/>
    </xf>
    <xf numFmtId="1" fontId="36" fillId="55" borderId="13" xfId="365" applyNumberFormat="1" applyFont="1" applyFill="1" applyBorder="1" applyAlignment="1">
      <alignment horizontal="center" vertical="center" wrapText="1"/>
    </xf>
    <xf numFmtId="0" fontId="34" fillId="27" borderId="27" xfId="365" applyFont="1" applyFill="1" applyBorder="1" applyAlignment="1">
      <alignment horizontal="left" vertical="center" wrapText="1"/>
    </xf>
    <xf numFmtId="0" fontId="36" fillId="0" borderId="81" xfId="365" applyFont="1" applyBorder="1" applyAlignment="1">
      <alignment vertical="center" wrapText="1"/>
    </xf>
    <xf numFmtId="0" fontId="34" fillId="51" borderId="27" xfId="365" applyFont="1" applyFill="1" applyBorder="1" applyAlignment="1">
      <alignment horizontal="left" vertical="center" wrapText="1"/>
    </xf>
    <xf numFmtId="0" fontId="34" fillId="48" borderId="27" xfId="365" applyFont="1" applyFill="1" applyBorder="1" applyAlignment="1">
      <alignment vertical="center" wrapText="1"/>
    </xf>
    <xf numFmtId="0" fontId="35" fillId="46" borderId="79" xfId="365" applyFont="1" applyFill="1" applyBorder="1" applyAlignment="1">
      <alignment horizontal="center" vertical="center" wrapText="1"/>
    </xf>
    <xf numFmtId="0" fontId="70" fillId="0" borderId="60" xfId="365" applyBorder="1"/>
    <xf numFmtId="0" fontId="34" fillId="59" borderId="27" xfId="365" applyFont="1" applyFill="1" applyBorder="1" applyAlignment="1">
      <alignment horizontal="left" vertical="center" wrapText="1"/>
    </xf>
    <xf numFmtId="0" fontId="34" fillId="59" borderId="93" xfId="365" applyFont="1" applyFill="1" applyBorder="1" applyAlignment="1">
      <alignment horizontal="center" vertical="center" wrapText="1"/>
    </xf>
    <xf numFmtId="0" fontId="34" fillId="59" borderId="59" xfId="365" applyFont="1" applyFill="1" applyBorder="1" applyAlignment="1">
      <alignment horizontal="center" vertical="center" wrapText="1"/>
    </xf>
    <xf numFmtId="0" fontId="34" fillId="59" borderId="28" xfId="365" applyFont="1" applyFill="1" applyBorder="1" applyAlignment="1">
      <alignment horizontal="center" vertical="center" wrapText="1"/>
    </xf>
    <xf numFmtId="0" fontId="34" fillId="59" borderId="27" xfId="365" applyFont="1" applyFill="1" applyBorder="1" applyAlignment="1">
      <alignment horizontal="center" vertical="center" wrapText="1"/>
    </xf>
    <xf numFmtId="1" fontId="34" fillId="59" borderId="27" xfId="365" applyNumberFormat="1" applyFont="1" applyFill="1" applyBorder="1" applyAlignment="1">
      <alignment horizontal="center" vertical="center" wrapText="1"/>
    </xf>
    <xf numFmtId="0" fontId="70" fillId="59" borderId="27" xfId="365" applyFill="1" applyBorder="1"/>
    <xf numFmtId="0" fontId="56" fillId="0" borderId="81" xfId="365" applyFont="1" applyBorder="1" applyAlignment="1">
      <alignment horizontal="center" wrapText="1"/>
    </xf>
    <xf numFmtId="0" fontId="70" fillId="0" borderId="81" xfId="365" applyBorder="1" applyAlignment="1">
      <alignment horizontal="center"/>
    </xf>
    <xf numFmtId="1" fontId="52" fillId="28" borderId="59" xfId="203" applyNumberFormat="1" applyFont="1" applyFill="1" applyBorder="1" applyAlignment="1">
      <alignment horizontal="center" vertical="center" wrapText="1"/>
    </xf>
    <xf numFmtId="1" fontId="52" fillId="28" borderId="49" xfId="203" applyNumberFormat="1" applyFont="1" applyFill="1" applyBorder="1" applyAlignment="1">
      <alignment horizontal="center" vertical="center" wrapText="1"/>
    </xf>
    <xf numFmtId="0" fontId="41" fillId="28" borderId="41" xfId="203" applyFont="1" applyFill="1" applyBorder="1"/>
    <xf numFmtId="1" fontId="45" fillId="28" borderId="41" xfId="203" applyNumberFormat="1" applyFont="1" applyFill="1" applyBorder="1" applyAlignment="1">
      <alignment horizontal="center" vertical="center" wrapText="1"/>
    </xf>
    <xf numFmtId="0" fontId="38" fillId="35" borderId="12" xfId="203" applyFont="1" applyFill="1" applyBorder="1" applyAlignment="1">
      <alignment horizontal="center" vertical="center" wrapText="1"/>
    </xf>
    <xf numFmtId="0" fontId="38" fillId="35" borderId="12" xfId="203" applyFont="1" applyFill="1" applyBorder="1" applyAlignment="1">
      <alignment horizontal="center" vertical="center"/>
    </xf>
    <xf numFmtId="0" fontId="23" fillId="35" borderId="38" xfId="203" applyFill="1" applyBorder="1" applyAlignment="1">
      <alignment horizontal="center" vertical="center"/>
    </xf>
    <xf numFmtId="0" fontId="23" fillId="35" borderId="45" xfId="203" applyFill="1" applyBorder="1" applyAlignment="1">
      <alignment horizontal="center" vertical="center"/>
    </xf>
    <xf numFmtId="0" fontId="38" fillId="35" borderId="35" xfId="203" applyFont="1" applyFill="1" applyBorder="1" applyAlignment="1">
      <alignment horizontal="center" vertical="center"/>
    </xf>
    <xf numFmtId="0" fontId="38" fillId="35" borderId="36" xfId="203" applyFont="1" applyFill="1" applyBorder="1" applyAlignment="1">
      <alignment horizontal="center" vertical="center"/>
    </xf>
    <xf numFmtId="0" fontId="108" fillId="0" borderId="0" xfId="203" applyFont="1" applyAlignment="1">
      <alignment vertical="center"/>
    </xf>
    <xf numFmtId="0" fontId="23" fillId="28" borderId="27" xfId="97" applyFont="1" applyFill="1" applyBorder="1" applyAlignment="1">
      <alignment horizontal="center" vertical="center"/>
    </xf>
    <xf numFmtId="0" fontId="0" fillId="44" borderId="0" xfId="0" applyFill="1"/>
    <xf numFmtId="0" fontId="41" fillId="0" borderId="0" xfId="203" applyFont="1" applyAlignment="1">
      <alignment vertical="center"/>
    </xf>
    <xf numFmtId="0" fontId="65" fillId="0" borderId="0" xfId="203" applyFont="1" applyAlignment="1">
      <alignment vertical="center"/>
    </xf>
    <xf numFmtId="0" fontId="38" fillId="0" borderId="0" xfId="365" applyFont="1" applyAlignment="1">
      <alignment horizontal="left" vertical="center" wrapText="1"/>
    </xf>
    <xf numFmtId="0" fontId="38" fillId="28" borderId="29" xfId="203" applyFont="1" applyFill="1" applyBorder="1" applyAlignment="1">
      <alignment horizontal="center" vertical="center"/>
    </xf>
    <xf numFmtId="2" fontId="52" fillId="28" borderId="38" xfId="203" applyNumberFormat="1" applyFont="1" applyFill="1" applyBorder="1" applyAlignment="1">
      <alignment horizontal="center" vertical="center" wrapText="1"/>
    </xf>
    <xf numFmtId="2" fontId="52" fillId="28" borderId="45" xfId="203" applyNumberFormat="1" applyFont="1" applyFill="1" applyBorder="1" applyAlignment="1">
      <alignment horizontal="center" vertical="center" wrapText="1"/>
    </xf>
    <xf numFmtId="2" fontId="52" fillId="28" borderId="64" xfId="203" applyNumberFormat="1" applyFont="1" applyFill="1" applyBorder="1" applyAlignment="1">
      <alignment horizontal="center" vertical="center" wrapText="1"/>
    </xf>
    <xf numFmtId="0" fontId="70" fillId="0" borderId="28" xfId="369" applyFont="1" applyBorder="1" applyAlignment="1" applyProtection="1">
      <alignment vertical="center"/>
      <protection locked="0"/>
    </xf>
    <xf numFmtId="0" fontId="70" fillId="0" borderId="13" xfId="369" applyFont="1" applyBorder="1" applyAlignment="1" applyProtection="1">
      <alignment vertical="center"/>
      <protection locked="0"/>
    </xf>
    <xf numFmtId="0" fontId="38" fillId="35" borderId="14" xfId="203" applyFont="1" applyFill="1" applyBorder="1" applyAlignment="1">
      <alignment horizontal="center" vertical="center"/>
    </xf>
    <xf numFmtId="0" fontId="38" fillId="35" borderId="84" xfId="203" applyFont="1" applyFill="1" applyBorder="1" applyAlignment="1">
      <alignment horizontal="center" vertical="center"/>
    </xf>
    <xf numFmtId="0" fontId="45" fillId="35" borderId="86" xfId="203" applyFont="1" applyFill="1" applyBorder="1" applyAlignment="1">
      <alignment horizontal="center" vertical="center" wrapText="1"/>
    </xf>
    <xf numFmtId="0" fontId="23" fillId="35" borderId="27" xfId="203" applyFill="1" applyBorder="1" applyAlignment="1">
      <alignment horizontal="right"/>
    </xf>
    <xf numFmtId="0" fontId="45" fillId="35" borderId="80" xfId="203" applyFont="1" applyFill="1" applyBorder="1" applyAlignment="1">
      <alignment horizontal="center" vertical="center" wrapText="1"/>
    </xf>
    <xf numFmtId="0" fontId="45" fillId="35" borderId="77" xfId="203" applyFont="1" applyFill="1" applyBorder="1" applyAlignment="1">
      <alignment horizontal="center" vertical="center" wrapText="1"/>
    </xf>
    <xf numFmtId="0" fontId="36" fillId="52" borderId="44" xfId="365" applyFont="1" applyFill="1" applyBorder="1" applyAlignment="1">
      <alignment horizontal="center" vertical="center" wrapText="1"/>
    </xf>
    <xf numFmtId="1" fontId="35" fillId="54" borderId="65" xfId="365" applyNumberFormat="1" applyFont="1" applyFill="1" applyBorder="1" applyAlignment="1">
      <alignment horizontal="center" vertical="center" wrapText="1"/>
    </xf>
    <xf numFmtId="0" fontId="36" fillId="52" borderId="67" xfId="365" applyFont="1" applyFill="1" applyBorder="1" applyAlignment="1">
      <alignment horizontal="center" vertical="center" wrapText="1"/>
    </xf>
    <xf numFmtId="0" fontId="36" fillId="54" borderId="59" xfId="365" applyFont="1" applyFill="1" applyBorder="1" applyAlignment="1">
      <alignment horizontal="center" vertical="center" wrapText="1"/>
    </xf>
    <xf numFmtId="0" fontId="38" fillId="0" borderId="0" xfId="0" applyFont="1" applyAlignment="1">
      <alignment horizontal="center" vertical="center"/>
    </xf>
    <xf numFmtId="0" fontId="38" fillId="0" borderId="27" xfId="374" applyFont="1" applyBorder="1" applyAlignment="1">
      <alignment vertical="center" wrapText="1"/>
    </xf>
    <xf numFmtId="0" fontId="38" fillId="0" borderId="62" xfId="374" applyFont="1" applyBorder="1" applyAlignment="1">
      <alignment vertical="center" wrapText="1"/>
    </xf>
    <xf numFmtId="0" fontId="34" fillId="34" borderId="35" xfId="0" applyFont="1" applyFill="1" applyBorder="1" applyAlignment="1">
      <alignment horizontal="left" vertical="center"/>
    </xf>
    <xf numFmtId="166" fontId="45" fillId="28" borderId="43" xfId="203" applyNumberFormat="1" applyFont="1" applyFill="1" applyBorder="1" applyAlignment="1">
      <alignment horizontal="center" vertical="center" wrapText="1"/>
    </xf>
    <xf numFmtId="170" fontId="45" fillId="28" borderId="43" xfId="203" applyNumberFormat="1" applyFont="1" applyFill="1" applyBorder="1" applyAlignment="1">
      <alignment horizontal="center" vertical="center" wrapText="1"/>
    </xf>
    <xf numFmtId="166" fontId="41" fillId="28" borderId="12" xfId="203" applyNumberFormat="1" applyFont="1" applyFill="1" applyBorder="1"/>
    <xf numFmtId="170" fontId="41" fillId="28" borderId="107" xfId="203" applyNumberFormat="1" applyFont="1" applyFill="1" applyBorder="1"/>
    <xf numFmtId="0" fontId="38" fillId="0" borderId="13" xfId="0" applyFont="1" applyBorder="1" applyAlignment="1">
      <alignment horizontal="left" vertical="center" wrapText="1"/>
    </xf>
    <xf numFmtId="0" fontId="38" fillId="0" borderId="47" xfId="0" applyFont="1" applyBorder="1" applyAlignment="1">
      <alignment horizontal="left" vertical="center" wrapText="1"/>
    </xf>
    <xf numFmtId="0" fontId="54" fillId="0" borderId="0" xfId="375" applyFont="1"/>
    <xf numFmtId="0" fontId="54" fillId="0" borderId="0" xfId="375" applyFont="1" applyAlignment="1">
      <alignment horizontal="center" vertical="center" wrapText="1"/>
    </xf>
    <xf numFmtId="0" fontId="23" fillId="0" borderId="0" xfId="203" applyProtection="1">
      <protection locked="0"/>
    </xf>
    <xf numFmtId="0" fontId="75" fillId="28" borderId="12" xfId="203" applyFont="1" applyFill="1" applyBorder="1" applyAlignment="1">
      <alignment horizontal="center" vertical="center" wrapText="1"/>
    </xf>
    <xf numFmtId="0" fontId="75" fillId="28" borderId="15" xfId="203" applyFont="1" applyFill="1" applyBorder="1" applyAlignment="1">
      <alignment vertical="center" wrapText="1"/>
    </xf>
    <xf numFmtId="0" fontId="23" fillId="0" borderId="0" xfId="203" applyAlignment="1">
      <alignment vertical="center" wrapText="1"/>
    </xf>
    <xf numFmtId="0" fontId="36" fillId="35" borderId="12" xfId="203" applyFont="1" applyFill="1" applyBorder="1" applyAlignment="1">
      <alignment horizontal="center" vertical="center" wrapText="1"/>
    </xf>
    <xf numFmtId="0" fontId="36" fillId="35" borderId="99" xfId="203" applyFont="1" applyFill="1" applyBorder="1" applyAlignment="1">
      <alignment horizontal="center" vertical="center" wrapText="1"/>
    </xf>
    <xf numFmtId="0" fontId="36" fillId="35" borderId="102" xfId="203" applyFont="1" applyFill="1" applyBorder="1" applyAlignment="1">
      <alignment vertical="center" wrapText="1"/>
    </xf>
    <xf numFmtId="0" fontId="36" fillId="35" borderId="14" xfId="203" applyFont="1" applyFill="1" applyBorder="1" applyAlignment="1">
      <alignment vertical="center" wrapText="1"/>
    </xf>
    <xf numFmtId="0" fontId="54" fillId="0" borderId="0" xfId="375" applyFont="1" applyAlignment="1">
      <alignment horizontal="center" vertical="center"/>
    </xf>
    <xf numFmtId="0" fontId="36" fillId="28" borderId="15" xfId="203" applyFont="1" applyFill="1" applyBorder="1" applyAlignment="1">
      <alignment vertical="center"/>
    </xf>
    <xf numFmtId="0" fontId="36" fillId="0" borderId="0" xfId="203" applyFont="1" applyAlignment="1">
      <alignment vertical="center" wrapText="1"/>
    </xf>
    <xf numFmtId="0" fontId="36" fillId="28" borderId="12" xfId="203" applyFont="1" applyFill="1" applyBorder="1" applyAlignment="1">
      <alignment horizontal="center" vertical="center" wrapText="1"/>
    </xf>
    <xf numFmtId="0" fontId="23" fillId="25" borderId="41" xfId="359" applyFont="1" applyFill="1" applyBorder="1" applyAlignment="1" applyProtection="1">
      <alignment horizontal="center" vertical="center" wrapText="1"/>
      <protection locked="0"/>
    </xf>
    <xf numFmtId="0" fontId="23" fillId="0" borderId="110" xfId="203" applyBorder="1" applyAlignment="1" applyProtection="1">
      <alignment horizontal="center" vertical="center" wrapText="1"/>
      <protection locked="0"/>
    </xf>
    <xf numFmtId="0" fontId="23" fillId="25" borderId="38" xfId="359" applyFont="1" applyFill="1" applyBorder="1" applyAlignment="1" applyProtection="1">
      <alignment horizontal="center" vertical="center" wrapText="1"/>
      <protection locked="0"/>
    </xf>
    <xf numFmtId="0" fontId="36" fillId="35" borderId="107" xfId="203" applyFont="1" applyFill="1" applyBorder="1" applyAlignment="1">
      <alignment horizontal="center" vertical="center" wrapText="1"/>
    </xf>
    <xf numFmtId="0" fontId="36" fillId="28" borderId="42" xfId="203" applyFont="1" applyFill="1" applyBorder="1" applyAlignment="1">
      <alignment horizontal="center" vertical="center" wrapText="1"/>
    </xf>
    <xf numFmtId="0" fontId="23" fillId="0" borderId="112" xfId="203" applyBorder="1" applyAlignment="1">
      <alignment horizontal="center" vertical="center" wrapText="1"/>
    </xf>
    <xf numFmtId="0" fontId="23" fillId="0" borderId="119" xfId="203" applyBorder="1" applyAlignment="1">
      <alignment horizontal="center" vertical="center" wrapText="1"/>
    </xf>
    <xf numFmtId="0" fontId="36" fillId="35" borderId="91" xfId="203" applyFont="1" applyFill="1" applyBorder="1" applyAlignment="1">
      <alignment horizontal="center" vertical="center" wrapText="1"/>
    </xf>
    <xf numFmtId="0" fontId="36" fillId="35" borderId="91" xfId="203" applyFont="1" applyFill="1" applyBorder="1" applyAlignment="1">
      <alignment vertical="center" wrapText="1"/>
    </xf>
    <xf numFmtId="0" fontId="36" fillId="0" borderId="0" xfId="203" applyFont="1" applyAlignment="1">
      <alignment vertical="center"/>
    </xf>
    <xf numFmtId="0" fontId="23" fillId="0" borderId="0" xfId="378" applyFont="1" applyAlignment="1" applyProtection="1">
      <alignment horizontal="center" vertical="center" wrapText="1"/>
      <protection locked="0"/>
    </xf>
    <xf numFmtId="0" fontId="23" fillId="0" borderId="110" xfId="378" applyFont="1" applyBorder="1" applyAlignment="1" applyProtection="1">
      <alignment horizontal="center" vertical="center" wrapText="1"/>
      <protection locked="0"/>
    </xf>
    <xf numFmtId="0" fontId="48" fillId="28" borderId="49" xfId="203" applyFont="1" applyFill="1" applyBorder="1" applyAlignment="1">
      <alignment vertical="center" wrapText="1"/>
    </xf>
    <xf numFmtId="0" fontId="48" fillId="28" borderId="84" xfId="203" applyFont="1" applyFill="1" applyBorder="1" applyAlignment="1">
      <alignment vertical="center" wrapText="1"/>
    </xf>
    <xf numFmtId="0" fontId="38" fillId="0" borderId="111" xfId="203" applyFont="1" applyBorder="1" applyAlignment="1">
      <alignment horizontal="center" vertical="center" wrapText="1"/>
    </xf>
    <xf numFmtId="0" fontId="23" fillId="0" borderId="121" xfId="203" applyBorder="1" applyAlignment="1">
      <alignment vertical="center" wrapText="1"/>
    </xf>
    <xf numFmtId="0" fontId="23" fillId="0" borderId="111" xfId="359" applyFont="1" applyFill="1" applyBorder="1" applyAlignment="1" applyProtection="1">
      <alignment horizontal="center" vertical="center"/>
      <protection locked="0"/>
    </xf>
    <xf numFmtId="0" fontId="23" fillId="0" borderId="0" xfId="378" applyFont="1" applyAlignment="1" applyProtection="1">
      <alignment horizontal="center" vertical="center"/>
      <protection locked="0"/>
    </xf>
    <xf numFmtId="0" fontId="36" fillId="35" borderId="12" xfId="359" applyFont="1" applyFill="1" applyBorder="1" applyAlignment="1" applyProtection="1">
      <alignment horizontal="center" vertical="center"/>
    </xf>
    <xf numFmtId="0" fontId="36" fillId="35" borderId="12" xfId="380" applyFont="1" applyFill="1" applyBorder="1" applyAlignment="1" applyProtection="1">
      <alignment horizontal="center" vertical="center"/>
    </xf>
    <xf numFmtId="0" fontId="35" fillId="35" borderId="107" xfId="203" applyFont="1" applyFill="1" applyBorder="1" applyAlignment="1">
      <alignment horizontal="center" vertical="center" wrapText="1"/>
    </xf>
    <xf numFmtId="0" fontId="23" fillId="0" borderId="125" xfId="203" applyBorder="1" applyAlignment="1" applyProtection="1">
      <alignment horizontal="center" vertical="center" wrapText="1"/>
      <protection locked="0"/>
    </xf>
    <xf numFmtId="0" fontId="23" fillId="0" borderId="128" xfId="203" applyBorder="1" applyAlignment="1">
      <alignment horizontal="center" vertical="center" wrapText="1"/>
    </xf>
    <xf numFmtId="0" fontId="23" fillId="25" borderId="111" xfId="378" applyFont="1" applyFill="1" applyBorder="1" applyAlignment="1" applyProtection="1">
      <alignment horizontal="center" vertical="center"/>
      <protection locked="0"/>
    </xf>
    <xf numFmtId="0" fontId="23" fillId="0" borderId="129" xfId="203" applyBorder="1" applyAlignment="1">
      <alignment horizontal="center" vertical="center" wrapText="1"/>
    </xf>
    <xf numFmtId="0" fontId="23" fillId="0" borderId="47" xfId="378" applyFont="1" applyBorder="1" applyAlignment="1">
      <alignment horizontal="left" vertical="center" wrapText="1"/>
    </xf>
    <xf numFmtId="0" fontId="23" fillId="0" borderId="130" xfId="203" applyBorder="1" applyAlignment="1">
      <alignment horizontal="center" vertical="center" wrapText="1"/>
    </xf>
    <xf numFmtId="0" fontId="65" fillId="35" borderId="102" xfId="378" applyFont="1" applyFill="1" applyBorder="1" applyAlignment="1">
      <alignment vertical="center" wrapText="1"/>
    </xf>
    <xf numFmtId="0" fontId="36" fillId="0" borderId="57" xfId="203" applyFont="1" applyBorder="1" applyAlignment="1">
      <alignment horizontal="left" vertical="center" wrapText="1"/>
    </xf>
    <xf numFmtId="0" fontId="23" fillId="0" borderId="17" xfId="203" applyBorder="1" applyAlignment="1">
      <alignment horizontal="center" vertical="center"/>
    </xf>
    <xf numFmtId="0" fontId="23" fillId="0" borderId="120" xfId="203" applyBorder="1" applyAlignment="1" applyProtection="1">
      <alignment horizontal="center" vertical="center" wrapText="1"/>
      <protection locked="0"/>
    </xf>
    <xf numFmtId="0" fontId="23" fillId="38" borderId="61" xfId="348" applyFont="1" applyFill="1" applyBorder="1" applyAlignment="1" applyProtection="1">
      <alignment horizontal="center" vertical="center" wrapText="1"/>
      <protection locked="0"/>
    </xf>
    <xf numFmtId="0" fontId="38" fillId="0" borderId="60" xfId="0" applyFont="1" applyBorder="1" applyAlignment="1">
      <alignment horizontal="left" vertical="center" wrapText="1"/>
    </xf>
    <xf numFmtId="0" fontId="23" fillId="0" borderId="133" xfId="203" applyBorder="1" applyAlignment="1">
      <alignment horizontal="center" vertical="center" wrapText="1"/>
    </xf>
    <xf numFmtId="0" fontId="74" fillId="0" borderId="29" xfId="203" applyFont="1" applyBorder="1" applyAlignment="1">
      <alignment vertical="center" wrapText="1"/>
    </xf>
    <xf numFmtId="0" fontId="54" fillId="45" borderId="13" xfId="357" applyFont="1" applyFill="1" applyBorder="1" applyAlignment="1">
      <alignment horizontal="center" vertical="center"/>
    </xf>
    <xf numFmtId="1" fontId="36" fillId="0" borderId="0" xfId="203" applyNumberFormat="1" applyFont="1" applyAlignment="1">
      <alignment horizontal="center" vertical="center"/>
    </xf>
    <xf numFmtId="0" fontId="59" fillId="28" borderId="98" xfId="0" applyFont="1" applyFill="1" applyBorder="1" applyAlignment="1">
      <alignment vertical="center"/>
    </xf>
    <xf numFmtId="0" fontId="53" fillId="31" borderId="117" xfId="0" applyFont="1" applyFill="1" applyBorder="1" applyAlignment="1">
      <alignment horizontal="center" vertical="center" wrapText="1"/>
    </xf>
    <xf numFmtId="0" fontId="48" fillId="30" borderId="117" xfId="0" applyFont="1" applyFill="1" applyBorder="1" applyAlignment="1">
      <alignment horizontal="center" vertical="center" wrapText="1"/>
    </xf>
    <xf numFmtId="0" fontId="48" fillId="30" borderId="61" xfId="0" applyFont="1" applyFill="1" applyBorder="1" applyAlignment="1">
      <alignment horizontal="center" vertical="center" wrapText="1"/>
    </xf>
    <xf numFmtId="0" fontId="23" fillId="0" borderId="120" xfId="0" applyFont="1" applyBorder="1" applyAlignment="1">
      <alignment horizontal="center" vertical="center"/>
    </xf>
    <xf numFmtId="0" fontId="36" fillId="31" borderId="117" xfId="0" applyFont="1" applyFill="1" applyBorder="1" applyAlignment="1">
      <alignment vertical="center" wrapText="1"/>
    </xf>
    <xf numFmtId="0" fontId="23" fillId="0" borderId="110" xfId="378" applyFont="1" applyBorder="1" applyAlignment="1">
      <alignment horizontal="left" vertical="center" wrapText="1"/>
    </xf>
    <xf numFmtId="0" fontId="0" fillId="25" borderId="12" xfId="0" applyFill="1" applyBorder="1" applyAlignment="1">
      <alignment horizontal="center" vertical="center"/>
    </xf>
    <xf numFmtId="164" fontId="23" fillId="0" borderId="12" xfId="0" applyNumberFormat="1" applyFont="1" applyBorder="1" applyAlignment="1">
      <alignment horizontal="center" vertical="center"/>
    </xf>
    <xf numFmtId="0" fontId="65" fillId="0" borderId="44" xfId="378" applyFont="1" applyBorder="1" applyAlignment="1">
      <alignment horizontal="center" vertical="center" wrapText="1"/>
    </xf>
    <xf numFmtId="0" fontId="65" fillId="0" borderId="44" xfId="203" applyFont="1" applyBorder="1" applyAlignment="1">
      <alignment horizontal="center" vertical="center" wrapText="1"/>
    </xf>
    <xf numFmtId="0" fontId="23" fillId="0" borderId="28" xfId="288" applyFont="1" applyBorder="1" applyAlignment="1" applyProtection="1">
      <alignment horizontal="center" vertical="center" wrapText="1"/>
      <protection locked="0"/>
    </xf>
    <xf numFmtId="0" fontId="35" fillId="0" borderId="80" xfId="203" applyFont="1" applyBorder="1" applyAlignment="1">
      <alignment vertical="center"/>
    </xf>
    <xf numFmtId="0" fontId="59" fillId="35" borderId="89" xfId="0" applyFont="1" applyFill="1" applyBorder="1" applyAlignment="1">
      <alignment horizontal="center" vertical="center"/>
    </xf>
    <xf numFmtId="0" fontId="23" fillId="25" borderId="43" xfId="378" applyFont="1" applyFill="1" applyBorder="1" applyAlignment="1" applyProtection="1">
      <alignment horizontal="center" vertical="center"/>
      <protection locked="0"/>
    </xf>
    <xf numFmtId="0" fontId="118" fillId="0" borderId="0" xfId="203" applyFont="1" applyAlignment="1">
      <alignment vertical="center"/>
    </xf>
    <xf numFmtId="0" fontId="38" fillId="72" borderId="38" xfId="365" applyFont="1" applyFill="1" applyBorder="1" applyAlignment="1">
      <alignment horizontal="left" vertical="center" wrapText="1"/>
    </xf>
    <xf numFmtId="0" fontId="38" fillId="72" borderId="138" xfId="365" applyFont="1" applyFill="1" applyBorder="1" applyAlignment="1">
      <alignment horizontal="left" vertical="center" wrapText="1"/>
    </xf>
    <xf numFmtId="0" fontId="38" fillId="72" borderId="43" xfId="365" applyFont="1" applyFill="1" applyBorder="1" applyAlignment="1">
      <alignment horizontal="left" vertical="center" wrapText="1"/>
    </xf>
    <xf numFmtId="0" fontId="38" fillId="72" borderId="12" xfId="365" applyFont="1" applyFill="1" applyBorder="1" applyAlignment="1">
      <alignment horizontal="left" vertical="center" wrapText="1"/>
    </xf>
    <xf numFmtId="0" fontId="54" fillId="0" borderId="59" xfId="0" applyFont="1" applyBorder="1" applyAlignment="1">
      <alignment horizontal="center" vertical="center"/>
    </xf>
    <xf numFmtId="0" fontId="54" fillId="0" borderId="135" xfId="0" applyFont="1" applyBorder="1" applyAlignment="1">
      <alignment horizontal="center" vertical="center"/>
    </xf>
    <xf numFmtId="0" fontId="54" fillId="0" borderId="129" xfId="0" applyFont="1" applyBorder="1" applyAlignment="1">
      <alignment horizontal="center" vertical="center"/>
    </xf>
    <xf numFmtId="0" fontId="54" fillId="0" borderId="138" xfId="0" applyFont="1" applyBorder="1" applyAlignment="1">
      <alignment vertical="center" wrapText="1"/>
    </xf>
    <xf numFmtId="0" fontId="54" fillId="0" borderId="139" xfId="0" applyFont="1" applyBorder="1" applyAlignment="1">
      <alignment vertical="center"/>
    </xf>
    <xf numFmtId="0" fontId="54" fillId="0" borderId="38" xfId="0" applyFont="1" applyBorder="1" applyAlignment="1">
      <alignment vertical="center"/>
    </xf>
    <xf numFmtId="0" fontId="54" fillId="0" borderId="139" xfId="0" applyFont="1" applyBorder="1" applyAlignment="1">
      <alignment vertical="center" wrapText="1"/>
    </xf>
    <xf numFmtId="0" fontId="54" fillId="0" borderId="138" xfId="0" applyFont="1" applyBorder="1" applyAlignment="1">
      <alignment vertical="center"/>
    </xf>
    <xf numFmtId="0" fontId="54" fillId="25" borderId="135" xfId="0" applyFont="1" applyFill="1" applyBorder="1" applyAlignment="1" applyProtection="1">
      <alignment horizontal="center" vertical="center"/>
      <protection locked="0"/>
    </xf>
    <xf numFmtId="0" fontId="59" fillId="47" borderId="14" xfId="0" applyFont="1" applyFill="1" applyBorder="1" applyAlignment="1">
      <alignment horizontal="left" vertical="center"/>
    </xf>
    <xf numFmtId="0" fontId="38" fillId="25" borderId="14" xfId="97" applyFont="1" applyFill="1" applyBorder="1" applyAlignment="1" applyProtection="1">
      <alignment horizontal="center" vertical="center"/>
      <protection locked="0"/>
    </xf>
    <xf numFmtId="0" fontId="0" fillId="0" borderId="117" xfId="0" applyBorder="1"/>
    <xf numFmtId="0" fontId="38" fillId="35" borderId="89" xfId="203" applyFont="1" applyFill="1" applyBorder="1" applyAlignment="1">
      <alignment horizontal="center" vertical="center"/>
    </xf>
    <xf numFmtId="0" fontId="38" fillId="38" borderId="17" xfId="203" applyFont="1" applyFill="1" applyBorder="1" applyAlignment="1">
      <alignment horizontal="center" vertical="center"/>
    </xf>
    <xf numFmtId="0" fontId="38" fillId="28" borderId="135" xfId="203" applyFont="1" applyFill="1" applyBorder="1" applyAlignment="1">
      <alignment horizontal="center" vertical="center"/>
    </xf>
    <xf numFmtId="0" fontId="70" fillId="44" borderId="77" xfId="349" applyFont="1" applyFill="1" applyBorder="1" applyAlignment="1">
      <alignment vertical="center"/>
    </xf>
    <xf numFmtId="0" fontId="70" fillId="44" borderId="75" xfId="349" applyFont="1" applyFill="1" applyBorder="1" applyAlignment="1">
      <alignment vertical="center"/>
    </xf>
    <xf numFmtId="0" fontId="0" fillId="44" borderId="0" xfId="349" applyFont="1" applyFill="1" applyAlignment="1">
      <alignment vertical="center"/>
    </xf>
    <xf numFmtId="0" fontId="0" fillId="44" borderId="75" xfId="349" applyFont="1" applyFill="1" applyBorder="1" applyAlignment="1">
      <alignment vertical="center"/>
    </xf>
    <xf numFmtId="166" fontId="70" fillId="44" borderId="13" xfId="350" applyNumberFormat="1" applyFont="1" applyFill="1" applyBorder="1" applyAlignment="1">
      <alignment horizontal="center" vertical="center"/>
    </xf>
    <xf numFmtId="166" fontId="23" fillId="44" borderId="13" xfId="350" applyNumberFormat="1" applyFont="1" applyFill="1" applyBorder="1" applyAlignment="1">
      <alignment horizontal="right" vertical="center"/>
    </xf>
    <xf numFmtId="0" fontId="36" fillId="35" borderId="14" xfId="203" applyFont="1" applyFill="1" applyBorder="1" applyAlignment="1">
      <alignment horizontal="left" vertical="center" wrapText="1"/>
    </xf>
    <xf numFmtId="164" fontId="53" fillId="31" borderId="120" xfId="0" applyNumberFormat="1" applyFont="1" applyFill="1" applyBorder="1" applyAlignment="1">
      <alignment horizontal="center" vertical="center"/>
    </xf>
    <xf numFmtId="0" fontId="53" fillId="31" borderId="121" xfId="0" applyFont="1" applyFill="1" applyBorder="1" applyAlignment="1">
      <alignment horizontal="center" vertical="center"/>
    </xf>
    <xf numFmtId="0" fontId="56" fillId="0" borderId="77" xfId="0" applyFont="1" applyBorder="1" applyAlignment="1">
      <alignment horizontal="center" vertical="center"/>
    </xf>
    <xf numFmtId="0" fontId="53" fillId="31" borderId="134" xfId="0" applyFont="1" applyFill="1" applyBorder="1" applyAlignment="1">
      <alignment horizontal="center" vertical="center"/>
    </xf>
    <xf numFmtId="0" fontId="38" fillId="0" borderId="137" xfId="0" applyFont="1" applyBorder="1" applyAlignment="1">
      <alignment horizontal="center" vertical="center" wrapText="1"/>
    </xf>
    <xf numFmtId="0" fontId="38" fillId="0" borderId="131" xfId="0" applyFont="1" applyBorder="1" applyAlignment="1">
      <alignment horizontal="center" vertical="center" wrapText="1"/>
    </xf>
    <xf numFmtId="0" fontId="38" fillId="0" borderId="125" xfId="0" applyFont="1" applyBorder="1" applyAlignment="1">
      <alignment horizontal="left" vertical="center" wrapText="1"/>
    </xf>
    <xf numFmtId="0" fontId="38" fillId="0" borderId="115" xfId="0" applyFont="1" applyBorder="1" applyAlignment="1">
      <alignment horizontal="left" vertical="center" wrapText="1"/>
    </xf>
    <xf numFmtId="0" fontId="36" fillId="35" borderId="91" xfId="203" applyFont="1" applyFill="1" applyBorder="1" applyAlignment="1">
      <alignment horizontal="left" vertical="center" wrapText="1"/>
    </xf>
    <xf numFmtId="0" fontId="23" fillId="25" borderId="138" xfId="359" applyFont="1" applyFill="1" applyBorder="1" applyAlignment="1" applyProtection="1">
      <alignment horizontal="center" vertical="center" wrapText="1"/>
      <protection locked="0"/>
    </xf>
    <xf numFmtId="0" fontId="23" fillId="25" borderId="139" xfId="359" applyFont="1" applyFill="1" applyBorder="1" applyAlignment="1" applyProtection="1">
      <alignment horizontal="center" vertical="center" wrapText="1"/>
      <protection locked="0"/>
    </xf>
    <xf numFmtId="0" fontId="23" fillId="43" borderId="126" xfId="203" applyFill="1" applyBorder="1" applyAlignment="1">
      <alignment horizontal="left" vertical="center" wrapText="1"/>
    </xf>
    <xf numFmtId="0" fontId="23" fillId="0" borderId="13" xfId="348" applyFont="1" applyBorder="1" applyAlignment="1">
      <alignment horizontal="center" vertical="center"/>
    </xf>
    <xf numFmtId="0" fontId="65" fillId="0" borderId="29" xfId="288" applyFont="1" applyBorder="1" applyAlignment="1">
      <alignment horizontal="center" vertical="center"/>
    </xf>
    <xf numFmtId="0" fontId="65" fillId="0" borderId="110" xfId="203" applyFont="1" applyBorder="1" applyAlignment="1">
      <alignment horizontal="center" vertical="center"/>
    </xf>
    <xf numFmtId="0" fontId="65" fillId="0" borderId="110" xfId="203" applyFont="1" applyBorder="1" applyAlignment="1">
      <alignment horizontal="center" vertical="center" wrapText="1"/>
    </xf>
    <xf numFmtId="0" fontId="23" fillId="0" borderId="117" xfId="203" applyBorder="1"/>
    <xf numFmtId="0" fontId="65" fillId="0" borderId="117" xfId="203" applyFont="1" applyBorder="1" applyAlignment="1">
      <alignment horizontal="center" vertical="center"/>
    </xf>
    <xf numFmtId="0" fontId="23" fillId="0" borderId="125" xfId="203" applyBorder="1"/>
    <xf numFmtId="0" fontId="38" fillId="63" borderId="77" xfId="365" applyFont="1" applyFill="1" applyBorder="1" applyAlignment="1">
      <alignment horizontal="left" vertical="center" wrapText="1"/>
    </xf>
    <xf numFmtId="0" fontId="38" fillId="46" borderId="75" xfId="365" applyFont="1" applyFill="1" applyBorder="1" applyAlignment="1">
      <alignment horizontal="center" vertical="center" wrapText="1"/>
    </xf>
    <xf numFmtId="0" fontId="38" fillId="63" borderId="134" xfId="365" applyFont="1" applyFill="1" applyBorder="1" applyAlignment="1">
      <alignment horizontal="left" vertical="center" wrapText="1"/>
    </xf>
    <xf numFmtId="0" fontId="23" fillId="46" borderId="143" xfId="365" applyFont="1" applyFill="1" applyBorder="1" applyAlignment="1">
      <alignment horizontal="center" vertical="center" wrapText="1"/>
    </xf>
    <xf numFmtId="0" fontId="38" fillId="63" borderId="116" xfId="365" applyFont="1" applyFill="1" applyBorder="1" applyAlignment="1">
      <alignment horizontal="left" vertical="center" wrapText="1"/>
    </xf>
    <xf numFmtId="0" fontId="38" fillId="28" borderId="114" xfId="365" applyFont="1" applyFill="1" applyBorder="1" applyAlignment="1">
      <alignment horizontal="center" vertical="center" wrapText="1"/>
    </xf>
    <xf numFmtId="0" fontId="70" fillId="74" borderId="77" xfId="349" applyFont="1" applyFill="1" applyBorder="1" applyAlignment="1">
      <alignment vertical="center"/>
    </xf>
    <xf numFmtId="166" fontId="70" fillId="74" borderId="13" xfId="350" applyNumberFormat="1" applyFont="1" applyFill="1" applyBorder="1" applyAlignment="1">
      <alignment horizontal="center" vertical="center"/>
    </xf>
    <xf numFmtId="0" fontId="70" fillId="74" borderId="78" xfId="349" applyFont="1" applyFill="1" applyBorder="1" applyAlignment="1">
      <alignment vertical="center"/>
    </xf>
    <xf numFmtId="0" fontId="23" fillId="25" borderId="117" xfId="98" applyFont="1" applyFill="1" applyBorder="1" applyAlignment="1">
      <alignment horizontal="right" vertical="center"/>
    </xf>
    <xf numFmtId="0" fontId="0" fillId="0" borderId="77" xfId="349" applyFont="1" applyBorder="1" applyAlignment="1">
      <alignment vertical="center"/>
    </xf>
    <xf numFmtId="0" fontId="70" fillId="74" borderId="75" xfId="349" quotePrefix="1" applyFont="1" applyFill="1" applyBorder="1" applyAlignment="1">
      <alignment vertical="center"/>
    </xf>
    <xf numFmtId="166" fontId="23" fillId="0" borderId="13" xfId="350" applyNumberFormat="1" applyFont="1" applyBorder="1" applyAlignment="1">
      <alignment horizontal="right" vertical="center"/>
    </xf>
    <xf numFmtId="0" fontId="65" fillId="0" borderId="29" xfId="203" applyFont="1" applyBorder="1" applyAlignment="1">
      <alignment horizontal="center" vertical="center" wrapText="1"/>
    </xf>
    <xf numFmtId="0" fontId="23" fillId="0" borderId="138" xfId="203" applyBorder="1" applyAlignment="1">
      <alignment horizontal="center" vertical="center" wrapText="1"/>
    </xf>
    <xf numFmtId="0" fontId="0" fillId="0" borderId="117" xfId="0" applyBorder="1" applyAlignment="1">
      <alignment horizontal="center" vertical="center"/>
    </xf>
    <xf numFmtId="0" fontId="23" fillId="25" borderId="79" xfId="97" applyFont="1" applyFill="1" applyBorder="1" applyAlignment="1">
      <alignment horizontal="center" vertical="center"/>
    </xf>
    <xf numFmtId="0" fontId="0" fillId="0" borderId="120" xfId="0" applyBorder="1" applyAlignment="1">
      <alignment horizontal="center" vertical="center"/>
    </xf>
    <xf numFmtId="0" fontId="35" fillId="46" borderId="117" xfId="365" applyFont="1" applyFill="1" applyBorder="1" applyAlignment="1">
      <alignment horizontal="center" vertical="center" wrapText="1"/>
    </xf>
    <xf numFmtId="0" fontId="35" fillId="63" borderId="117" xfId="365" applyFont="1" applyFill="1" applyBorder="1" applyAlignment="1">
      <alignment horizontal="center" vertical="center" wrapText="1"/>
    </xf>
    <xf numFmtId="0" fontId="0" fillId="0" borderId="0" xfId="365" applyFont="1" applyAlignment="1">
      <alignment wrapText="1"/>
    </xf>
    <xf numFmtId="0" fontId="70" fillId="0" borderId="117" xfId="0" applyFont="1" applyBorder="1" applyAlignment="1">
      <alignment horizontal="center" vertical="center"/>
    </xf>
    <xf numFmtId="0" fontId="23" fillId="25" borderId="16" xfId="203" applyFill="1" applyBorder="1" applyAlignment="1">
      <alignment horizontal="center" vertical="center"/>
    </xf>
    <xf numFmtId="0" fontId="23" fillId="25" borderId="55" xfId="203" applyFill="1" applyBorder="1" applyAlignment="1">
      <alignment horizontal="center" vertical="center"/>
    </xf>
    <xf numFmtId="0" fontId="23" fillId="46" borderId="144" xfId="365" applyFont="1" applyFill="1" applyBorder="1" applyAlignment="1">
      <alignment horizontal="center" vertical="center" wrapText="1"/>
    </xf>
    <xf numFmtId="0" fontId="59" fillId="35" borderId="17" xfId="0" applyFont="1" applyFill="1" applyBorder="1" applyAlignment="1">
      <alignment horizontal="center" vertical="center"/>
    </xf>
    <xf numFmtId="0" fontId="54" fillId="25" borderId="38" xfId="0" applyFont="1" applyFill="1" applyBorder="1" applyAlignment="1" applyProtection="1">
      <alignment horizontal="center" vertical="center"/>
      <protection locked="0"/>
    </xf>
    <xf numFmtId="0" fontId="54" fillId="25" borderId="138" xfId="0" applyFont="1" applyFill="1" applyBorder="1" applyAlignment="1" applyProtection="1">
      <alignment horizontal="center" vertical="center"/>
      <protection locked="0"/>
    </xf>
    <xf numFmtId="0" fontId="54" fillId="25" borderId="139" xfId="0" applyFont="1" applyFill="1" applyBorder="1" applyAlignment="1" applyProtection="1">
      <alignment horizontal="center" vertical="center"/>
      <protection locked="0"/>
    </xf>
    <xf numFmtId="0" fontId="54" fillId="0" borderId="118" xfId="0" applyFont="1" applyBorder="1" applyAlignment="1">
      <alignment vertical="center"/>
    </xf>
    <xf numFmtId="0" fontId="54" fillId="25" borderId="118" xfId="0" applyFont="1" applyFill="1" applyBorder="1" applyAlignment="1" applyProtection="1">
      <alignment horizontal="center" vertical="center"/>
      <protection locked="0"/>
    </xf>
    <xf numFmtId="0" fontId="59" fillId="35" borderId="66" xfId="0" applyFont="1" applyFill="1" applyBorder="1" applyAlignment="1">
      <alignment horizontal="center" vertical="center"/>
    </xf>
    <xf numFmtId="0" fontId="54" fillId="0" borderId="118" xfId="0" applyFont="1" applyBorder="1" applyAlignment="1">
      <alignment vertical="center" wrapText="1"/>
    </xf>
    <xf numFmtId="0" fontId="59" fillId="28" borderId="107" xfId="0" applyFont="1" applyFill="1" applyBorder="1" applyAlignment="1">
      <alignment horizontal="center" vertical="center"/>
    </xf>
    <xf numFmtId="0" fontId="41" fillId="28" borderId="102" xfId="203" applyFont="1" applyFill="1" applyBorder="1" applyAlignment="1">
      <alignment horizontal="center"/>
    </xf>
    <xf numFmtId="0" fontId="23" fillId="25" borderId="66" xfId="359" applyFont="1" applyFill="1" applyBorder="1" applyAlignment="1" applyProtection="1">
      <alignment horizontal="center" vertical="center" wrapText="1"/>
      <protection locked="0"/>
    </xf>
    <xf numFmtId="0" fontId="36" fillId="0" borderId="74" xfId="203" applyFont="1" applyBorder="1" applyAlignment="1">
      <alignment horizontal="left" vertical="center" wrapText="1"/>
    </xf>
    <xf numFmtId="0" fontId="63" fillId="28" borderId="14" xfId="203" applyFont="1" applyFill="1" applyBorder="1" applyAlignment="1">
      <alignment horizontal="right" vertical="center" wrapText="1"/>
    </xf>
    <xf numFmtId="0" fontId="63" fillId="28" borderId="15" xfId="203" applyFont="1" applyFill="1" applyBorder="1" applyAlignment="1">
      <alignment horizontal="right" vertical="center" wrapText="1"/>
    </xf>
    <xf numFmtId="0" fontId="38" fillId="38" borderId="14" xfId="203" applyFont="1" applyFill="1" applyBorder="1" applyAlignment="1">
      <alignment horizontal="center" vertical="center"/>
    </xf>
    <xf numFmtId="0" fontId="38" fillId="38" borderId="15" xfId="203" applyFont="1" applyFill="1" applyBorder="1" applyAlignment="1">
      <alignment horizontal="center" vertical="center"/>
    </xf>
    <xf numFmtId="0" fontId="38" fillId="38" borderId="105" xfId="203" applyFont="1" applyFill="1" applyBorder="1" applyAlignment="1">
      <alignment horizontal="center" vertical="center"/>
    </xf>
    <xf numFmtId="0" fontId="59" fillId="35" borderId="14" xfId="0" applyFont="1" applyFill="1" applyBorder="1" applyAlignment="1">
      <alignment horizontal="center" vertical="center"/>
    </xf>
    <xf numFmtId="0" fontId="54" fillId="35" borderId="16" xfId="0" applyFont="1" applyFill="1" applyBorder="1" applyAlignment="1">
      <alignment horizontal="center" vertical="center"/>
    </xf>
    <xf numFmtId="0" fontId="65" fillId="0" borderId="34" xfId="0" applyFont="1" applyBorder="1" applyAlignment="1">
      <alignment vertical="center"/>
    </xf>
    <xf numFmtId="0" fontId="65" fillId="0" borderId="56" xfId="0" applyFont="1" applyBorder="1" applyAlignment="1">
      <alignment vertical="center"/>
    </xf>
    <xf numFmtId="0" fontId="63" fillId="28" borderId="105" xfId="203" applyFont="1" applyFill="1" applyBorder="1" applyAlignment="1">
      <alignment horizontal="right" vertical="center" wrapText="1"/>
    </xf>
    <xf numFmtId="0" fontId="23" fillId="0" borderId="0" xfId="203" applyAlignment="1" applyProtection="1">
      <alignment horizontal="center" vertical="center" wrapText="1"/>
      <protection locked="0"/>
    </xf>
    <xf numFmtId="0" fontId="23" fillId="25" borderId="12" xfId="359" applyFont="1" applyFill="1" applyBorder="1" applyAlignment="1" applyProtection="1">
      <alignment horizontal="center" vertical="center" wrapText="1"/>
      <protection locked="0"/>
    </xf>
    <xf numFmtId="0" fontId="23" fillId="0" borderId="44" xfId="203" applyBorder="1" applyAlignment="1">
      <alignment horizontal="center" vertical="center" wrapText="1"/>
    </xf>
    <xf numFmtId="0" fontId="70" fillId="0" borderId="94" xfId="349" applyFont="1" applyBorder="1" applyAlignment="1">
      <alignment horizontal="center" vertical="center"/>
    </xf>
    <xf numFmtId="0" fontId="70" fillId="0" borderId="13" xfId="369" applyFont="1" applyBorder="1" applyAlignment="1">
      <alignment horizontal="center" vertical="center"/>
    </xf>
    <xf numFmtId="0" fontId="23" fillId="0" borderId="29" xfId="203" applyBorder="1" applyAlignment="1">
      <alignment horizontal="center" vertical="center" wrapText="1"/>
    </xf>
    <xf numFmtId="0" fontId="23" fillId="0" borderId="79" xfId="203" applyBorder="1" applyAlignment="1">
      <alignment horizontal="center" vertical="center" wrapText="1"/>
    </xf>
    <xf numFmtId="0" fontId="36" fillId="28" borderId="14" xfId="203" applyFont="1" applyFill="1" applyBorder="1" applyAlignment="1">
      <alignment vertical="center"/>
    </xf>
    <xf numFmtId="0" fontId="36" fillId="28" borderId="12" xfId="203" applyFont="1" applyFill="1" applyBorder="1" applyAlignment="1">
      <alignment horizontal="center" vertical="center"/>
    </xf>
    <xf numFmtId="0" fontId="38" fillId="43" borderId="38" xfId="203" applyFont="1" applyFill="1" applyBorder="1" applyAlignment="1">
      <alignment horizontal="center" vertical="center"/>
    </xf>
    <xf numFmtId="0" fontId="23" fillId="0" borderId="94" xfId="349" applyFont="1" applyBorder="1" applyAlignment="1" applyProtection="1">
      <alignment horizontal="center" vertical="center"/>
      <protection locked="0"/>
    </xf>
    <xf numFmtId="0" fontId="59" fillId="35" borderId="12" xfId="6" applyFont="1" applyFill="1" applyBorder="1" applyAlignment="1">
      <alignment horizontal="left" vertical="center"/>
    </xf>
    <xf numFmtId="166" fontId="70" fillId="74" borderId="27" xfId="350" applyNumberFormat="1" applyFont="1" applyFill="1" applyBorder="1" applyAlignment="1">
      <alignment horizontal="center" vertical="center"/>
    </xf>
    <xf numFmtId="0" fontId="70" fillId="0" borderId="120" xfId="349" applyFont="1" applyBorder="1" applyAlignment="1">
      <alignment horizontal="center" vertical="center"/>
    </xf>
    <xf numFmtId="0" fontId="59" fillId="35" borderId="14" xfId="349" applyFont="1" applyFill="1" applyBorder="1" applyAlignment="1">
      <alignment horizontal="left" vertical="center"/>
    </xf>
    <xf numFmtId="0" fontId="59" fillId="35" borderId="102" xfId="349" applyFont="1" applyFill="1" applyBorder="1" applyAlignment="1">
      <alignment horizontal="center" vertical="center"/>
    </xf>
    <xf numFmtId="0" fontId="59" fillId="35" borderId="16" xfId="349" applyFont="1" applyFill="1" applyBorder="1" applyAlignment="1">
      <alignment horizontal="left" vertical="center"/>
    </xf>
    <xf numFmtId="0" fontId="38" fillId="35" borderId="133" xfId="203" applyFont="1" applyFill="1" applyBorder="1" applyAlignment="1">
      <alignment horizontal="center" vertical="center" wrapText="1"/>
    </xf>
    <xf numFmtId="0" fontId="23" fillId="0" borderId="77" xfId="203" applyBorder="1" applyAlignment="1">
      <alignment vertical="center" wrapText="1"/>
    </xf>
    <xf numFmtId="0" fontId="38" fillId="47" borderId="14" xfId="203" applyFont="1" applyFill="1" applyBorder="1" applyAlignment="1">
      <alignment vertical="center" wrapText="1"/>
    </xf>
    <xf numFmtId="0" fontId="23" fillId="47" borderId="16" xfId="203" applyFill="1" applyBorder="1" applyAlignment="1">
      <alignment horizontal="center" vertical="center" wrapText="1"/>
    </xf>
    <xf numFmtId="0" fontId="23" fillId="0" borderId="126" xfId="203" applyBorder="1" applyAlignment="1">
      <alignment horizontal="center" vertical="center" wrapText="1"/>
    </xf>
    <xf numFmtId="0" fontId="36" fillId="47" borderId="14" xfId="203" applyFont="1" applyFill="1" applyBorder="1" applyAlignment="1">
      <alignment vertical="center" wrapText="1"/>
    </xf>
    <xf numFmtId="0" fontId="23" fillId="0" borderId="34" xfId="203" applyBorder="1" applyAlignment="1">
      <alignment horizontal="left" vertical="center" wrapText="1"/>
    </xf>
    <xf numFmtId="0" fontId="23" fillId="0" borderId="74" xfId="203" applyBorder="1" applyAlignment="1">
      <alignment horizontal="left" vertical="center" wrapText="1"/>
    </xf>
    <xf numFmtId="0" fontId="23" fillId="0" borderId="72" xfId="203" applyBorder="1" applyAlignment="1">
      <alignment horizontal="center" vertical="center" wrapText="1"/>
    </xf>
    <xf numFmtId="0" fontId="23" fillId="0" borderId="74" xfId="203" applyBorder="1" applyAlignment="1">
      <alignment vertical="center" wrapText="1"/>
    </xf>
    <xf numFmtId="0" fontId="36" fillId="28" borderId="98" xfId="203" applyFont="1" applyFill="1" applyBorder="1" applyAlignment="1">
      <alignment vertical="center" wrapText="1"/>
    </xf>
    <xf numFmtId="0" fontId="36" fillId="28" borderId="99" xfId="203" applyFont="1" applyFill="1" applyBorder="1" applyAlignment="1">
      <alignment horizontal="center" vertical="center"/>
    </xf>
    <xf numFmtId="166" fontId="65" fillId="25" borderId="43" xfId="97" applyNumberFormat="1" applyFont="1" applyFill="1" applyBorder="1" applyAlignment="1" applyProtection="1">
      <alignment horizontal="center" vertical="center"/>
      <protection locked="0"/>
    </xf>
    <xf numFmtId="0" fontId="41" fillId="38" borderId="12" xfId="203" applyFont="1" applyFill="1" applyBorder="1" applyAlignment="1">
      <alignment horizontal="left" vertical="center"/>
    </xf>
    <xf numFmtId="0" fontId="41" fillId="38" borderId="38" xfId="203" applyFont="1" applyFill="1" applyBorder="1" applyAlignment="1">
      <alignment horizontal="center" vertical="center"/>
    </xf>
    <xf numFmtId="0" fontId="41" fillId="38" borderId="14" xfId="203" applyFont="1" applyFill="1" applyBorder="1" applyAlignment="1">
      <alignment horizontal="left" vertical="center"/>
    </xf>
    <xf numFmtId="0" fontId="41" fillId="38" borderId="12" xfId="203" applyFont="1" applyFill="1" applyBorder="1" applyAlignment="1">
      <alignment horizontal="center" vertical="center"/>
    </xf>
    <xf numFmtId="0" fontId="65" fillId="0" borderId="136" xfId="203" applyFont="1" applyBorder="1" applyAlignment="1">
      <alignment vertical="center"/>
    </xf>
    <xf numFmtId="0" fontId="23" fillId="0" borderId="0" xfId="203" applyAlignment="1" applyProtection="1">
      <alignment horizontal="center" vertical="center"/>
      <protection locked="0"/>
    </xf>
    <xf numFmtId="0" fontId="23" fillId="0" borderId="123" xfId="203" applyBorder="1" applyAlignment="1">
      <alignment vertical="center" wrapText="1"/>
    </xf>
    <xf numFmtId="0" fontId="23" fillId="43" borderId="57" xfId="203" applyFill="1" applyBorder="1" applyAlignment="1">
      <alignment vertical="center" wrapText="1"/>
    </xf>
    <xf numFmtId="0" fontId="23" fillId="25" borderId="61" xfId="378" applyFont="1" applyFill="1" applyBorder="1" applyAlignment="1" applyProtection="1">
      <alignment horizontal="center" vertical="center"/>
      <protection locked="0"/>
    </xf>
    <xf numFmtId="0" fontId="23" fillId="28" borderId="49" xfId="203" applyFill="1" applyBorder="1"/>
    <xf numFmtId="0" fontId="111" fillId="0" borderId="0" xfId="379" applyBorder="1" applyAlignment="1" applyProtection="1"/>
    <xf numFmtId="0" fontId="23" fillId="0" borderId="137" xfId="203" applyBorder="1" applyAlignment="1">
      <alignment horizontal="center" vertical="center" wrapText="1"/>
    </xf>
    <xf numFmtId="0" fontId="23" fillId="0" borderId="56" xfId="376" applyBorder="1" applyAlignment="1">
      <alignment horizontal="center" vertical="center" wrapText="1"/>
    </xf>
    <xf numFmtId="0" fontId="23" fillId="0" borderId="0" xfId="376" applyAlignment="1" applyProtection="1">
      <alignment vertical="center" wrapText="1"/>
      <protection locked="0"/>
    </xf>
    <xf numFmtId="0" fontId="23" fillId="0" borderId="110" xfId="376" applyBorder="1" applyAlignment="1" applyProtection="1">
      <alignment horizontal="center" vertical="center" wrapText="1"/>
      <protection locked="0"/>
    </xf>
    <xf numFmtId="0" fontId="23" fillId="0" borderId="0" xfId="376" applyAlignment="1" applyProtection="1">
      <alignment horizontal="center" vertical="center" wrapText="1"/>
      <protection locked="0"/>
    </xf>
    <xf numFmtId="0" fontId="23" fillId="0" borderId="117" xfId="376" applyBorder="1" applyAlignment="1" applyProtection="1">
      <alignment horizontal="center" vertical="center" wrapText="1"/>
      <protection locked="0"/>
    </xf>
    <xf numFmtId="0" fontId="23" fillId="0" borderId="0" xfId="376" applyAlignment="1">
      <alignment wrapText="1"/>
    </xf>
    <xf numFmtId="0" fontId="23" fillId="0" borderId="117" xfId="203" applyBorder="1" applyAlignment="1" applyProtection="1">
      <alignment horizontal="center" vertical="center" wrapText="1"/>
      <protection locked="0"/>
    </xf>
    <xf numFmtId="0" fontId="23" fillId="0" borderId="90" xfId="203" applyBorder="1" applyAlignment="1">
      <alignment horizontal="center" vertical="center" wrapText="1"/>
    </xf>
    <xf numFmtId="0" fontId="23" fillId="0" borderId="92" xfId="203" applyBorder="1" applyAlignment="1">
      <alignment horizontal="center" vertical="center" wrapText="1"/>
    </xf>
    <xf numFmtId="0" fontId="23" fillId="0" borderId="0" xfId="376" applyAlignment="1">
      <alignment horizontal="center" wrapText="1"/>
    </xf>
    <xf numFmtId="8" fontId="23" fillId="0" borderId="0" xfId="376" applyNumberFormat="1" applyAlignment="1">
      <alignment horizontal="center" vertical="center" wrapText="1"/>
    </xf>
    <xf numFmtId="0" fontId="36" fillId="43" borderId="91" xfId="376" applyFont="1" applyFill="1" applyBorder="1" applyAlignment="1">
      <alignment horizontal="left" vertical="center" wrapText="1"/>
    </xf>
    <xf numFmtId="0" fontId="36" fillId="43" borderId="98" xfId="376" applyFont="1" applyFill="1" applyBorder="1" applyAlignment="1">
      <alignment horizontal="left" vertical="center" wrapText="1"/>
    </xf>
    <xf numFmtId="0" fontId="23" fillId="0" borderId="99" xfId="203" applyBorder="1" applyAlignment="1">
      <alignment horizontal="center" vertical="center" wrapText="1"/>
    </xf>
    <xf numFmtId="0" fontId="23" fillId="0" borderId="109" xfId="376" applyBorder="1" applyAlignment="1">
      <alignment horizontal="center" vertical="center" wrapText="1"/>
    </xf>
    <xf numFmtId="0" fontId="89" fillId="0" borderId="0" xfId="203" applyFont="1" applyAlignment="1">
      <alignment vertical="center"/>
    </xf>
    <xf numFmtId="0" fontId="122" fillId="0" borderId="0" xfId="203" applyFont="1" applyAlignment="1">
      <alignment vertical="center"/>
    </xf>
    <xf numFmtId="0" fontId="53" fillId="0" borderId="0" xfId="0" applyFont="1" applyAlignment="1">
      <alignment horizontal="left" vertical="center"/>
    </xf>
    <xf numFmtId="0" fontId="23" fillId="0" borderId="134" xfId="288" applyFont="1" applyBorder="1" applyAlignment="1" applyProtection="1">
      <alignment horizontal="center" vertical="center" wrapText="1"/>
      <protection locked="0"/>
    </xf>
    <xf numFmtId="0" fontId="41" fillId="38" borderId="66" xfId="97" applyFont="1" applyFill="1" applyBorder="1" applyAlignment="1">
      <alignment horizontal="center" vertical="center"/>
    </xf>
    <xf numFmtId="0" fontId="36" fillId="28" borderId="41" xfId="203" applyFont="1" applyFill="1" applyBorder="1" applyAlignment="1">
      <alignment horizontal="center" vertical="center"/>
    </xf>
    <xf numFmtId="0" fontId="23" fillId="0" borderId="121" xfId="203" applyBorder="1" applyAlignment="1">
      <alignment vertical="center"/>
    </xf>
    <xf numFmtId="0" fontId="52" fillId="0" borderId="125" xfId="203" applyFont="1" applyBorder="1" applyAlignment="1">
      <alignment horizontal="center" vertical="center" wrapText="1"/>
    </xf>
    <xf numFmtId="0" fontId="52" fillId="0" borderId="126" xfId="203" applyFont="1" applyBorder="1" applyAlignment="1">
      <alignment horizontal="center" vertical="center" wrapText="1"/>
    </xf>
    <xf numFmtId="0" fontId="52" fillId="0" borderId="27" xfId="203" applyFont="1" applyBorder="1" applyAlignment="1">
      <alignment horizontal="center" vertical="center" wrapText="1"/>
    </xf>
    <xf numFmtId="0" fontId="52" fillId="0" borderId="93" xfId="203" applyFont="1" applyBorder="1" applyAlignment="1">
      <alignment horizontal="center" vertical="center" wrapText="1"/>
    </xf>
    <xf numFmtId="0" fontId="65" fillId="0" borderId="12" xfId="203" applyFont="1" applyBorder="1" applyAlignment="1">
      <alignment vertical="center"/>
    </xf>
    <xf numFmtId="0" fontId="41" fillId="38" borderId="66" xfId="203" applyFont="1" applyFill="1" applyBorder="1" applyAlignment="1">
      <alignment horizontal="center" vertical="center"/>
    </xf>
    <xf numFmtId="1" fontId="36" fillId="28" borderId="41" xfId="203" applyNumberFormat="1" applyFont="1" applyFill="1" applyBorder="1" applyAlignment="1">
      <alignment horizontal="center" vertical="center"/>
    </xf>
    <xf numFmtId="166" fontId="65" fillId="25" borderId="12" xfId="97" applyNumberFormat="1" applyFont="1" applyFill="1" applyBorder="1" applyAlignment="1" applyProtection="1">
      <alignment horizontal="center" vertical="center"/>
      <protection locked="0"/>
    </xf>
    <xf numFmtId="0" fontId="70" fillId="0" borderId="120" xfId="0" applyFont="1" applyBorder="1" applyAlignment="1">
      <alignment horizontal="center" vertical="center"/>
    </xf>
    <xf numFmtId="0" fontId="23" fillId="25" borderId="38" xfId="203" applyFill="1" applyBorder="1" applyAlignment="1" applyProtection="1">
      <alignment horizontal="center" vertical="center"/>
      <protection locked="0"/>
    </xf>
    <xf numFmtId="0" fontId="23" fillId="25" borderId="138" xfId="203" applyFill="1" applyBorder="1" applyAlignment="1" applyProtection="1">
      <alignment horizontal="center" vertical="center"/>
      <protection locked="0"/>
    </xf>
    <xf numFmtId="10" fontId="38" fillId="28" borderId="12" xfId="203" applyNumberFormat="1" applyFont="1" applyFill="1" applyBorder="1" applyAlignment="1">
      <alignment horizontal="center" vertical="center"/>
    </xf>
    <xf numFmtId="9" fontId="38" fillId="28" borderId="12" xfId="203" applyNumberFormat="1" applyFont="1" applyFill="1" applyBorder="1" applyAlignment="1">
      <alignment horizontal="center" vertical="center"/>
    </xf>
    <xf numFmtId="1" fontId="45" fillId="28" borderId="38" xfId="203" applyNumberFormat="1" applyFont="1" applyFill="1" applyBorder="1" applyAlignment="1">
      <alignment horizontal="center" vertical="center" wrapText="1"/>
    </xf>
    <xf numFmtId="0" fontId="38" fillId="28" borderId="138" xfId="203" applyFont="1" applyFill="1" applyBorder="1" applyAlignment="1">
      <alignment horizontal="center" vertical="center"/>
    </xf>
    <xf numFmtId="0" fontId="38" fillId="28" borderId="139" xfId="203" applyFont="1" applyFill="1" applyBorder="1" applyAlignment="1">
      <alignment horizontal="center" vertical="center"/>
    </xf>
    <xf numFmtId="0" fontId="38" fillId="35" borderId="34" xfId="203" applyFont="1" applyFill="1" applyBorder="1" applyAlignment="1">
      <alignment horizontal="center" vertical="center" wrapText="1"/>
    </xf>
    <xf numFmtId="170" fontId="45" fillId="28" borderId="116" xfId="203" applyNumberFormat="1" applyFont="1" applyFill="1" applyBorder="1" applyAlignment="1">
      <alignment horizontal="center" vertical="center" wrapText="1"/>
    </xf>
    <xf numFmtId="170" fontId="45" fillId="28" borderId="115" xfId="203" applyNumberFormat="1" applyFont="1" applyFill="1" applyBorder="1" applyAlignment="1">
      <alignment horizontal="center" vertical="center" wrapText="1"/>
    </xf>
    <xf numFmtId="170" fontId="45" fillId="28" borderId="114" xfId="203" applyNumberFormat="1" applyFont="1" applyFill="1" applyBorder="1" applyAlignment="1">
      <alignment horizontal="center" vertical="center" wrapText="1"/>
    </xf>
    <xf numFmtId="0" fontId="117" fillId="47" borderId="16" xfId="0" applyFont="1" applyFill="1" applyBorder="1" applyAlignment="1">
      <alignment horizontal="center" vertical="center"/>
    </xf>
    <xf numFmtId="0" fontId="54" fillId="28" borderId="139" xfId="0" applyFont="1" applyFill="1" applyBorder="1" applyAlignment="1">
      <alignment horizontal="center" vertical="center"/>
    </xf>
    <xf numFmtId="0" fontId="23" fillId="43" borderId="74" xfId="203" applyFill="1" applyBorder="1" applyAlignment="1">
      <alignment vertical="center" wrapText="1"/>
    </xf>
    <xf numFmtId="0" fontId="38" fillId="47" borderId="102" xfId="203" applyFont="1" applyFill="1" applyBorder="1" applyAlignment="1">
      <alignment horizontal="center" vertical="center"/>
    </xf>
    <xf numFmtId="0" fontId="38" fillId="47" borderId="99" xfId="203" applyFont="1" applyFill="1" applyBorder="1" applyAlignment="1">
      <alignment horizontal="center" vertical="center"/>
    </xf>
    <xf numFmtId="0" fontId="70" fillId="0" borderId="77" xfId="0" applyFont="1" applyBorder="1" applyAlignment="1">
      <alignment vertical="center"/>
    </xf>
    <xf numFmtId="0" fontId="54" fillId="0" borderId="44" xfId="288" applyFont="1" applyBorder="1"/>
    <xf numFmtId="0" fontId="56" fillId="0" borderId="0" xfId="288" applyFont="1"/>
    <xf numFmtId="0" fontId="41" fillId="35" borderId="14" xfId="0" applyFont="1" applyFill="1" applyBorder="1" applyAlignment="1">
      <alignment vertical="center"/>
    </xf>
    <xf numFmtId="0" fontId="54" fillId="35" borderId="15" xfId="288" applyFont="1" applyFill="1" applyBorder="1"/>
    <xf numFmtId="0" fontId="54" fillId="35" borderId="16" xfId="288" applyFont="1" applyFill="1" applyBorder="1"/>
    <xf numFmtId="0" fontId="58" fillId="0" borderId="142" xfId="288" applyFont="1" applyBorder="1"/>
    <xf numFmtId="0" fontId="54" fillId="0" borderId="129" xfId="288" applyFont="1" applyBorder="1"/>
    <xf numFmtId="167" fontId="23" fillId="25" borderId="27" xfId="111" applyNumberFormat="1" applyFont="1" applyFill="1" applyBorder="1" applyAlignment="1" applyProtection="1">
      <alignment horizontal="center" vertical="center"/>
      <protection locked="0"/>
    </xf>
    <xf numFmtId="0" fontId="41" fillId="35" borderId="15" xfId="0" applyFont="1" applyFill="1" applyBorder="1" applyAlignment="1">
      <alignment vertical="center"/>
    </xf>
    <xf numFmtId="0" fontId="41" fillId="35" borderId="16" xfId="0" applyFont="1" applyFill="1" applyBorder="1" applyAlignment="1">
      <alignment vertical="center"/>
    </xf>
    <xf numFmtId="0" fontId="54" fillId="35" borderId="15" xfId="288" applyFont="1" applyFill="1" applyBorder="1" applyAlignment="1">
      <alignment horizontal="center" vertical="center"/>
    </xf>
    <xf numFmtId="0" fontId="60" fillId="35" borderId="15" xfId="288" applyFont="1" applyFill="1" applyBorder="1" applyAlignment="1">
      <alignment horizontal="center"/>
    </xf>
    <xf numFmtId="0" fontId="54" fillId="35" borderId="16" xfId="288" applyFont="1" applyFill="1" applyBorder="1" applyAlignment="1">
      <alignment horizontal="center" vertical="center"/>
    </xf>
    <xf numFmtId="0" fontId="54" fillId="0" borderId="80" xfId="288" applyFont="1" applyBorder="1" applyAlignment="1">
      <alignment horizontal="left" vertical="center"/>
    </xf>
    <xf numFmtId="0" fontId="54" fillId="0" borderId="0" xfId="288" applyFont="1" applyAlignment="1">
      <alignment horizontal="left" vertical="center"/>
    </xf>
    <xf numFmtId="0" fontId="23" fillId="0" borderId="120" xfId="386" applyFont="1" applyBorder="1" applyAlignment="1" applyProtection="1">
      <alignment horizontal="center" vertical="center" wrapText="1"/>
      <protection locked="0"/>
    </xf>
    <xf numFmtId="0" fontId="53" fillId="28" borderId="12" xfId="0" applyFont="1" applyFill="1" applyBorder="1" applyAlignment="1">
      <alignment vertical="center"/>
    </xf>
    <xf numFmtId="0" fontId="53" fillId="28" borderId="80" xfId="0" applyFont="1" applyFill="1" applyBorder="1" applyAlignment="1">
      <alignment vertical="center"/>
    </xf>
    <xf numFmtId="1" fontId="36" fillId="28" borderId="12" xfId="200" applyNumberFormat="1" applyFont="1" applyFill="1" applyBorder="1" applyAlignment="1">
      <alignment horizontal="center" vertical="center"/>
    </xf>
    <xf numFmtId="0" fontId="59" fillId="28" borderId="15" xfId="288" applyFont="1" applyFill="1" applyBorder="1" applyAlignment="1">
      <alignment horizontal="center" vertical="center"/>
    </xf>
    <xf numFmtId="0" fontId="59" fillId="28" borderId="12" xfId="288" applyFont="1" applyFill="1" applyBorder="1" applyAlignment="1">
      <alignment vertical="center"/>
    </xf>
    <xf numFmtId="0" fontId="0" fillId="0" borderId="77" xfId="0" applyBorder="1" applyAlignment="1">
      <alignment vertical="center"/>
    </xf>
    <xf numFmtId="0" fontId="41" fillId="35" borderId="12" xfId="0" applyFont="1" applyFill="1" applyBorder="1" applyAlignment="1">
      <alignment vertical="center"/>
    </xf>
    <xf numFmtId="0" fontId="41" fillId="35" borderId="12" xfId="0" applyFont="1" applyFill="1" applyBorder="1" applyAlignment="1">
      <alignment horizontal="center" vertical="center"/>
    </xf>
    <xf numFmtId="0" fontId="73" fillId="35" borderId="98" xfId="348" applyFont="1" applyFill="1" applyBorder="1" applyAlignment="1">
      <alignment vertical="center" wrapText="1"/>
    </xf>
    <xf numFmtId="0" fontId="73" fillId="35" borderId="107" xfId="348" applyFont="1" applyFill="1" applyBorder="1" applyAlignment="1">
      <alignment vertical="center" wrapText="1"/>
    </xf>
    <xf numFmtId="0" fontId="73" fillId="35" borderId="99" xfId="348" applyFont="1" applyFill="1" applyBorder="1" applyAlignment="1">
      <alignment horizontal="center" vertical="center" wrapText="1"/>
    </xf>
    <xf numFmtId="0" fontId="73" fillId="35" borderId="12" xfId="348" applyFont="1" applyFill="1" applyBorder="1" applyAlignment="1">
      <alignment horizontal="center" vertical="center" wrapText="1"/>
    </xf>
    <xf numFmtId="0" fontId="75" fillId="28" borderId="16" xfId="348" applyFont="1" applyFill="1" applyBorder="1" applyAlignment="1">
      <alignment vertical="center" wrapText="1"/>
    </xf>
    <xf numFmtId="0" fontId="38" fillId="35" borderId="98" xfId="203" applyFont="1" applyFill="1" applyBorder="1" applyAlignment="1">
      <alignment vertical="center" wrapText="1"/>
    </xf>
    <xf numFmtId="0" fontId="38" fillId="35" borderId="102" xfId="203" applyFont="1" applyFill="1" applyBorder="1" applyAlignment="1">
      <alignment vertical="center" wrapText="1"/>
    </xf>
    <xf numFmtId="0" fontId="38" fillId="35" borderId="107" xfId="203" applyFont="1" applyFill="1" applyBorder="1" applyAlignment="1">
      <alignment horizontal="center" vertical="center" wrapText="1"/>
    </xf>
    <xf numFmtId="0" fontId="23" fillId="35" borderId="137" xfId="203" applyFill="1" applyBorder="1" applyAlignment="1">
      <alignment horizontal="center" vertical="center" wrapText="1"/>
    </xf>
    <xf numFmtId="0" fontId="48" fillId="28" borderId="41" xfId="203" applyFont="1" applyFill="1" applyBorder="1" applyAlignment="1">
      <alignment horizontal="center" vertical="center" wrapText="1"/>
    </xf>
    <xf numFmtId="0" fontId="48" fillId="28" borderId="146" xfId="203" applyFont="1" applyFill="1" applyBorder="1" applyAlignment="1">
      <alignment vertical="center" wrapText="1"/>
    </xf>
    <xf numFmtId="0" fontId="74" fillId="0" borderId="28" xfId="203" applyFont="1" applyBorder="1" applyAlignment="1">
      <alignment vertical="center" wrapText="1"/>
    </xf>
    <xf numFmtId="0" fontId="74" fillId="0" borderId="0" xfId="203" applyFont="1" applyAlignment="1">
      <alignment horizontal="center" vertical="center" wrapText="1"/>
    </xf>
    <xf numFmtId="0" fontId="23" fillId="25" borderId="43" xfId="359" applyFont="1" applyFill="1" applyBorder="1" applyAlignment="1" applyProtection="1">
      <alignment horizontal="center" vertical="center" wrapText="1"/>
    </xf>
    <xf numFmtId="0" fontId="73" fillId="35" borderId="98" xfId="203" applyFont="1" applyFill="1" applyBorder="1" applyAlignment="1">
      <alignment vertical="center" wrapText="1"/>
    </xf>
    <xf numFmtId="0" fontId="73" fillId="35" borderId="107" xfId="203" applyFont="1" applyFill="1" applyBorder="1" applyAlignment="1">
      <alignment horizontal="center" vertical="center" wrapText="1"/>
    </xf>
    <xf numFmtId="0" fontId="73" fillId="35" borderId="12" xfId="203" applyFont="1" applyFill="1" applyBorder="1" applyAlignment="1">
      <alignment horizontal="center" vertical="center" wrapText="1"/>
    </xf>
    <xf numFmtId="0" fontId="70" fillId="0" borderId="149" xfId="349" applyFont="1" applyBorder="1" applyAlignment="1">
      <alignment vertical="center"/>
    </xf>
    <xf numFmtId="0" fontId="70" fillId="0" borderId="141" xfId="349" applyFont="1" applyBorder="1" applyAlignment="1">
      <alignment vertical="center"/>
    </xf>
    <xf numFmtId="0" fontId="70" fillId="0" borderId="86" xfId="349" applyFont="1" applyBorder="1" applyAlignment="1">
      <alignment vertical="center"/>
    </xf>
    <xf numFmtId="0" fontId="70" fillId="35" borderId="86" xfId="349" applyFont="1" applyFill="1" applyBorder="1" applyAlignment="1">
      <alignment vertical="center"/>
    </xf>
    <xf numFmtId="0" fontId="70" fillId="0" borderId="55" xfId="349" applyFont="1" applyBorder="1" applyAlignment="1">
      <alignment vertical="center"/>
    </xf>
    <xf numFmtId="0" fontId="70" fillId="0" borderId="144" xfId="349" applyFont="1" applyBorder="1" applyAlignment="1">
      <alignment vertical="center"/>
    </xf>
    <xf numFmtId="0" fontId="0" fillId="0" borderId="55" xfId="349" applyFont="1" applyBorder="1" applyAlignment="1">
      <alignment vertical="center"/>
    </xf>
    <xf numFmtId="166" fontId="70" fillId="25" borderId="38" xfId="98" applyNumberFormat="1" applyFont="1" applyFill="1" applyBorder="1" applyAlignment="1" applyProtection="1">
      <alignment horizontal="right" vertical="center"/>
      <protection locked="0"/>
    </xf>
    <xf numFmtId="166" fontId="70" fillId="25" borderId="138" xfId="98" applyNumberFormat="1" applyFont="1" applyFill="1" applyBorder="1" applyAlignment="1" applyProtection="1">
      <alignment horizontal="right" vertical="center"/>
      <protection locked="0"/>
    </xf>
    <xf numFmtId="166" fontId="0" fillId="25" borderId="138" xfId="98" applyNumberFormat="1" applyFont="1" applyFill="1" applyBorder="1" applyAlignment="1" applyProtection="1">
      <alignment horizontal="right" vertical="center"/>
      <protection locked="0"/>
    </xf>
    <xf numFmtId="166" fontId="70" fillId="25" borderId="139" xfId="98" applyNumberFormat="1" applyFont="1" applyFill="1" applyBorder="1" applyAlignment="1" applyProtection="1">
      <alignment horizontal="right" vertical="center"/>
      <protection locked="0"/>
    </xf>
    <xf numFmtId="0" fontId="56" fillId="28" borderId="150" xfId="349" applyFont="1" applyFill="1" applyBorder="1" applyAlignment="1">
      <alignment vertical="center"/>
    </xf>
    <xf numFmtId="0" fontId="56" fillId="28" borderId="151" xfId="349" applyFont="1" applyFill="1" applyBorder="1" applyAlignment="1">
      <alignment vertical="center"/>
    </xf>
    <xf numFmtId="0" fontId="23" fillId="35" borderId="118" xfId="203" applyFill="1" applyBorder="1" applyAlignment="1">
      <alignment horizontal="center" vertical="center"/>
    </xf>
    <xf numFmtId="0" fontId="23" fillId="25" borderId="118" xfId="203" applyFill="1" applyBorder="1" applyAlignment="1" applyProtection="1">
      <alignment horizontal="center" vertical="center"/>
      <protection locked="0"/>
    </xf>
    <xf numFmtId="0" fontId="23" fillId="35" borderId="12" xfId="203" applyFill="1" applyBorder="1" applyAlignment="1">
      <alignment horizontal="center" vertical="center"/>
    </xf>
    <xf numFmtId="0" fontId="23" fillId="28" borderId="12" xfId="203" applyFill="1" applyBorder="1" applyAlignment="1">
      <alignment horizontal="center" vertical="center"/>
    </xf>
    <xf numFmtId="0" fontId="38" fillId="72" borderId="118" xfId="365" applyFont="1" applyFill="1" applyBorder="1" applyAlignment="1">
      <alignment horizontal="left" vertical="center" wrapText="1"/>
    </xf>
    <xf numFmtId="0" fontId="23" fillId="46" borderId="132" xfId="365" applyFont="1" applyFill="1" applyBorder="1" applyAlignment="1">
      <alignment horizontal="center" vertical="center" wrapText="1"/>
    </xf>
    <xf numFmtId="0" fontId="38" fillId="63" borderId="16" xfId="365" applyFont="1" applyFill="1" applyBorder="1" applyAlignment="1">
      <alignment horizontal="center" vertical="center" wrapText="1"/>
    </xf>
    <xf numFmtId="0" fontId="38" fillId="72" borderId="61" xfId="365" applyFont="1" applyFill="1" applyBorder="1" applyAlignment="1">
      <alignment horizontal="left" vertical="center" wrapText="1"/>
    </xf>
    <xf numFmtId="0" fontId="23" fillId="46" borderId="37" xfId="365" applyFont="1" applyFill="1" applyBorder="1" applyAlignment="1">
      <alignment horizontal="center" vertical="center" wrapText="1"/>
    </xf>
    <xf numFmtId="0" fontId="38" fillId="46" borderId="37" xfId="365" applyFont="1" applyFill="1" applyBorder="1" applyAlignment="1">
      <alignment horizontal="center" vertical="center" wrapText="1"/>
    </xf>
    <xf numFmtId="0" fontId="38" fillId="72" borderId="41" xfId="365" applyFont="1" applyFill="1" applyBorder="1" applyAlignment="1">
      <alignment horizontal="left" vertical="center" wrapText="1"/>
    </xf>
    <xf numFmtId="0" fontId="56" fillId="25" borderId="152" xfId="0" applyFont="1" applyFill="1" applyBorder="1" applyAlignment="1">
      <alignment horizontal="center"/>
    </xf>
    <xf numFmtId="0" fontId="38" fillId="0" borderId="86" xfId="203" applyFont="1" applyBorder="1" applyAlignment="1">
      <alignment horizontal="center" vertical="center" wrapText="1"/>
    </xf>
    <xf numFmtId="0" fontId="38" fillId="35" borderId="38" xfId="203" applyFont="1" applyFill="1" applyBorder="1" applyAlignment="1">
      <alignment horizontal="center" vertical="center"/>
    </xf>
    <xf numFmtId="0" fontId="38" fillId="35" borderId="139" xfId="203" applyFont="1" applyFill="1" applyBorder="1" applyAlignment="1">
      <alignment horizontal="center" vertical="center"/>
    </xf>
    <xf numFmtId="0" fontId="38" fillId="0" borderId="142" xfId="203" applyFont="1" applyBorder="1" applyAlignment="1">
      <alignment horizontal="center" vertical="center" wrapText="1"/>
    </xf>
    <xf numFmtId="0" fontId="38" fillId="35" borderId="66" xfId="203" applyFont="1" applyFill="1" applyBorder="1" applyAlignment="1">
      <alignment horizontal="center" vertical="center" wrapText="1"/>
    </xf>
    <xf numFmtId="0" fontId="0" fillId="0" borderId="129" xfId="0" applyBorder="1" applyAlignment="1">
      <alignment horizontal="center" vertical="center"/>
    </xf>
    <xf numFmtId="0" fontId="38" fillId="28" borderId="43" xfId="203" applyFont="1" applyFill="1" applyBorder="1" applyAlignment="1">
      <alignment horizontal="center" vertical="center"/>
    </xf>
    <xf numFmtId="0" fontId="0" fillId="0" borderId="28" xfId="0" applyBorder="1" applyAlignment="1">
      <alignment horizontal="center" vertical="center"/>
    </xf>
    <xf numFmtId="0" fontId="0" fillId="0" borderId="53" xfId="0" applyBorder="1" applyAlignment="1">
      <alignment horizontal="center" vertical="center"/>
    </xf>
    <xf numFmtId="170" fontId="45" fillId="28" borderId="139" xfId="203" applyNumberFormat="1" applyFont="1" applyFill="1" applyBorder="1" applyAlignment="1">
      <alignment horizontal="center" vertical="center" wrapText="1"/>
    </xf>
    <xf numFmtId="0" fontId="0" fillId="0" borderId="138" xfId="0" applyBorder="1" applyAlignment="1">
      <alignment horizontal="center" vertical="center"/>
    </xf>
    <xf numFmtId="0" fontId="23" fillId="0" borderId="62" xfId="203" applyBorder="1" applyAlignment="1">
      <alignment vertical="center" wrapText="1"/>
    </xf>
    <xf numFmtId="0" fontId="36" fillId="35" borderId="98" xfId="203" applyFont="1" applyFill="1" applyBorder="1" applyAlignment="1">
      <alignment vertical="center" wrapText="1"/>
    </xf>
    <xf numFmtId="0" fontId="70" fillId="0" borderId="141" xfId="0" applyFont="1" applyBorder="1" applyAlignment="1">
      <alignment horizontal="center" vertical="center"/>
    </xf>
    <xf numFmtId="167" fontId="23" fillId="25" borderId="38" xfId="111" applyNumberFormat="1" applyFont="1" applyFill="1" applyBorder="1" applyAlignment="1" applyProtection="1">
      <alignment horizontal="center" vertical="center"/>
      <protection locked="0"/>
    </xf>
    <xf numFmtId="167" fontId="23" fillId="25" borderId="139" xfId="111" applyNumberFormat="1" applyFont="1" applyFill="1" applyBorder="1" applyAlignment="1" applyProtection="1">
      <alignment horizontal="center" vertical="center"/>
      <protection locked="0"/>
    </xf>
    <xf numFmtId="0" fontId="23" fillId="0" borderId="29" xfId="349" applyFont="1" applyBorder="1" applyAlignment="1" applyProtection="1">
      <alignment horizontal="center" vertical="center" wrapText="1"/>
      <protection locked="0"/>
    </xf>
    <xf numFmtId="0" fontId="65" fillId="35" borderId="50" xfId="203" applyFont="1" applyFill="1" applyBorder="1" applyAlignment="1">
      <alignment horizontal="center" vertical="center" wrapText="1"/>
    </xf>
    <xf numFmtId="0" fontId="65" fillId="35" borderId="69" xfId="203" applyFont="1" applyFill="1" applyBorder="1" applyAlignment="1">
      <alignment horizontal="center" vertical="center" wrapText="1"/>
    </xf>
    <xf numFmtId="0" fontId="23" fillId="0" borderId="108" xfId="203" applyBorder="1" applyAlignment="1">
      <alignment horizontal="center" vertical="center" wrapText="1"/>
    </xf>
    <xf numFmtId="0" fontId="23" fillId="25" borderId="61" xfId="359" applyFont="1" applyFill="1" applyBorder="1" applyAlignment="1" applyProtection="1">
      <alignment horizontal="center" vertical="center" wrapText="1"/>
      <protection locked="0"/>
    </xf>
    <xf numFmtId="1" fontId="36" fillId="28" borderId="41" xfId="203" applyNumberFormat="1" applyFont="1" applyFill="1" applyBorder="1" applyAlignment="1">
      <alignment horizontal="center" vertical="center" wrapText="1"/>
    </xf>
    <xf numFmtId="0" fontId="36" fillId="43" borderId="57" xfId="203" applyFont="1" applyFill="1" applyBorder="1" applyAlignment="1">
      <alignment horizontal="left" vertical="center" wrapText="1"/>
    </xf>
    <xf numFmtId="0" fontId="23" fillId="25" borderId="139" xfId="378" applyFont="1" applyFill="1" applyBorder="1" applyAlignment="1" applyProtection="1">
      <alignment horizontal="center" vertical="center"/>
      <protection locked="0"/>
    </xf>
    <xf numFmtId="0" fontId="23" fillId="0" borderId="27" xfId="378" applyFont="1" applyBorder="1" applyAlignment="1">
      <alignment horizontal="left" vertical="center" wrapText="1"/>
    </xf>
    <xf numFmtId="0" fontId="23" fillId="43" borderId="120" xfId="203" applyFill="1" applyBorder="1" applyAlignment="1">
      <alignment horizontal="left" vertical="center" wrapText="1"/>
    </xf>
    <xf numFmtId="0" fontId="23" fillId="0" borderId="114" xfId="203" applyBorder="1" applyAlignment="1">
      <alignment horizontal="center" vertical="center" wrapText="1"/>
    </xf>
    <xf numFmtId="0" fontId="35" fillId="0" borderId="12" xfId="203" applyFont="1" applyBorder="1" applyAlignment="1">
      <alignment horizontal="center" vertical="center"/>
    </xf>
    <xf numFmtId="0" fontId="65" fillId="0" borderId="92" xfId="378" applyFont="1" applyBorder="1" applyAlignment="1">
      <alignment horizontal="center" vertical="center" wrapText="1"/>
    </xf>
    <xf numFmtId="0" fontId="65" fillId="0" borderId="92" xfId="203" applyFont="1" applyBorder="1" applyAlignment="1">
      <alignment horizontal="center" vertical="center" wrapText="1"/>
    </xf>
    <xf numFmtId="0" fontId="65" fillId="0" borderId="155" xfId="378" applyFont="1" applyBorder="1" applyAlignment="1">
      <alignment horizontal="center" vertical="center" wrapText="1"/>
    </xf>
    <xf numFmtId="0" fontId="65" fillId="0" borderId="155" xfId="203" applyFont="1" applyBorder="1" applyAlignment="1">
      <alignment horizontal="center" vertical="center" wrapText="1"/>
    </xf>
    <xf numFmtId="0" fontId="23" fillId="0" borderId="155" xfId="203" applyBorder="1" applyAlignment="1">
      <alignment horizontal="center" vertical="center" wrapText="1"/>
    </xf>
    <xf numFmtId="0" fontId="23" fillId="25" borderId="41" xfId="378" applyFont="1" applyFill="1" applyBorder="1" applyAlignment="1" applyProtection="1">
      <alignment horizontal="center" vertical="center"/>
      <protection locked="0"/>
    </xf>
    <xf numFmtId="0" fontId="36" fillId="0" borderId="98" xfId="203" applyFont="1" applyBorder="1" applyAlignment="1">
      <alignment horizontal="left" vertical="center" wrapText="1"/>
    </xf>
    <xf numFmtId="0" fontId="23" fillId="0" borderId="107" xfId="203" applyBorder="1" applyAlignment="1">
      <alignment horizontal="center" vertical="center" wrapText="1"/>
    </xf>
    <xf numFmtId="0" fontId="23" fillId="25" borderId="12" xfId="378" applyFont="1" applyFill="1" applyBorder="1" applyAlignment="1" applyProtection="1">
      <alignment horizontal="center" vertical="center"/>
      <protection locked="0"/>
    </xf>
    <xf numFmtId="0" fontId="74" fillId="0" borderId="98" xfId="348" applyFont="1" applyBorder="1" applyAlignment="1">
      <alignment vertical="center" wrapText="1"/>
    </xf>
    <xf numFmtId="0" fontId="74" fillId="0" borderId="107" xfId="203" applyFont="1" applyBorder="1" applyAlignment="1">
      <alignment vertical="center" wrapText="1"/>
    </xf>
    <xf numFmtId="0" fontId="74" fillId="0" borderId="99" xfId="348" applyFont="1" applyBorder="1" applyAlignment="1">
      <alignment horizontal="center" vertical="center" wrapText="1"/>
    </xf>
    <xf numFmtId="0" fontId="23" fillId="25" borderId="12" xfId="348" applyFont="1" applyFill="1" applyBorder="1" applyAlignment="1" applyProtection="1">
      <alignment horizontal="center" vertical="center" wrapText="1"/>
      <protection locked="0"/>
    </xf>
    <xf numFmtId="0" fontId="70" fillId="0" borderId="107" xfId="348" applyFont="1" applyBorder="1" applyAlignment="1">
      <alignment vertical="center" wrapText="1"/>
    </xf>
    <xf numFmtId="0" fontId="23" fillId="0" borderId="107" xfId="376" applyBorder="1" applyAlignment="1">
      <alignment horizontal="left" vertical="center" wrapText="1"/>
    </xf>
    <xf numFmtId="0" fontId="23" fillId="0" borderId="107" xfId="376" applyBorder="1" applyAlignment="1">
      <alignment horizontal="center" vertical="center" wrapText="1"/>
    </xf>
    <xf numFmtId="0" fontId="74" fillId="0" borderId="74" xfId="348" applyFont="1" applyBorder="1" applyAlignment="1">
      <alignment vertical="center" wrapText="1"/>
    </xf>
    <xf numFmtId="0" fontId="74" fillId="0" borderId="37" xfId="348" applyFont="1" applyBorder="1" applyAlignment="1">
      <alignment horizontal="center" vertical="center" wrapText="1"/>
    </xf>
    <xf numFmtId="0" fontId="23" fillId="38" borderId="12" xfId="348" applyFont="1" applyFill="1" applyBorder="1" applyAlignment="1" applyProtection="1">
      <alignment horizontal="center" vertical="center" wrapText="1"/>
      <protection locked="0"/>
    </xf>
    <xf numFmtId="0" fontId="70" fillId="0" borderId="37" xfId="349" applyFont="1" applyBorder="1" applyAlignment="1">
      <alignment vertical="center"/>
    </xf>
    <xf numFmtId="0" fontId="70" fillId="0" borderId="140" xfId="349" applyFont="1" applyBorder="1" applyAlignment="1">
      <alignment vertical="center"/>
    </xf>
    <xf numFmtId="0" fontId="70" fillId="0" borderId="156" xfId="349" applyFont="1" applyBorder="1" applyAlignment="1">
      <alignment vertical="center"/>
    </xf>
    <xf numFmtId="166" fontId="62" fillId="25" borderId="38" xfId="352" applyNumberFormat="1" applyFont="1" applyFill="1" applyBorder="1" applyAlignment="1" applyProtection="1">
      <alignment horizontal="right" vertical="center"/>
      <protection locked="0"/>
    </xf>
    <xf numFmtId="166" fontId="62" fillId="25" borderId="138" xfId="352" applyNumberFormat="1" applyFont="1" applyFill="1" applyBorder="1" applyAlignment="1" applyProtection="1">
      <alignment horizontal="right" vertical="center"/>
      <protection locked="0"/>
    </xf>
    <xf numFmtId="0" fontId="36" fillId="0" borderId="14" xfId="376" applyFont="1" applyBorder="1" applyAlignment="1">
      <alignment horizontal="left" vertical="center" wrapText="1"/>
    </xf>
    <xf numFmtId="0" fontId="23" fillId="25" borderId="41" xfId="359" applyFont="1" applyFill="1" applyBorder="1" applyAlignment="1" applyProtection="1">
      <alignment horizontal="center" vertical="center"/>
      <protection locked="0"/>
    </xf>
    <xf numFmtId="0" fontId="23" fillId="43" borderId="99" xfId="203" applyFill="1" applyBorder="1" applyAlignment="1">
      <alignment horizontal="center" vertical="center" wrapText="1"/>
    </xf>
    <xf numFmtId="0" fontId="23" fillId="25" borderId="12" xfId="359" applyFont="1" applyFill="1" applyBorder="1" applyAlignment="1" applyProtection="1">
      <alignment horizontal="center" vertical="center"/>
      <protection locked="0"/>
    </xf>
    <xf numFmtId="0" fontId="23" fillId="43" borderId="148" xfId="203" applyFill="1" applyBorder="1" applyAlignment="1">
      <alignment horizontal="center" vertical="center" wrapText="1"/>
    </xf>
    <xf numFmtId="167" fontId="23" fillId="26" borderId="13" xfId="111" applyNumberFormat="1" applyFont="1" applyFill="1" applyBorder="1" applyAlignment="1">
      <alignment horizontal="center" vertical="center"/>
    </xf>
    <xf numFmtId="0" fontId="35" fillId="0" borderId="61" xfId="203" applyFont="1" applyBorder="1" applyAlignment="1">
      <alignment horizontal="center" vertical="center"/>
    </xf>
    <xf numFmtId="0" fontId="23" fillId="25" borderId="38" xfId="378" applyFont="1" applyFill="1" applyBorder="1" applyAlignment="1" applyProtection="1">
      <alignment horizontal="center" vertical="center"/>
      <protection locked="0"/>
    </xf>
    <xf numFmtId="0" fontId="23" fillId="25" borderId="12" xfId="380" applyFont="1" applyFill="1" applyBorder="1" applyAlignment="1" applyProtection="1">
      <alignment horizontal="center" vertical="center"/>
      <protection locked="0"/>
    </xf>
    <xf numFmtId="0" fontId="23" fillId="0" borderId="0" xfId="348" applyFont="1" applyAlignment="1">
      <alignment vertical="center"/>
    </xf>
    <xf numFmtId="0" fontId="75" fillId="28" borderId="16" xfId="348" applyFont="1" applyFill="1" applyBorder="1" applyAlignment="1">
      <alignment horizontal="center" vertical="center" wrapText="1"/>
    </xf>
    <xf numFmtId="0" fontId="62" fillId="25" borderId="41" xfId="352" applyNumberFormat="1" applyFont="1" applyFill="1" applyBorder="1" applyAlignment="1" applyProtection="1">
      <alignment horizontal="center" vertical="center"/>
      <protection locked="0"/>
    </xf>
    <xf numFmtId="0" fontId="23" fillId="0" borderId="0" xfId="365" applyFont="1" applyAlignment="1">
      <alignment horizontal="center" vertical="center"/>
    </xf>
    <xf numFmtId="0" fontId="41" fillId="35" borderId="12" xfId="387" applyFont="1" applyFill="1" applyBorder="1" applyAlignment="1">
      <alignment horizontal="center" vertical="center"/>
    </xf>
    <xf numFmtId="0" fontId="70" fillId="0" borderId="35" xfId="365" applyBorder="1" applyAlignment="1">
      <alignment vertical="center" wrapText="1"/>
    </xf>
    <xf numFmtId="0" fontId="70" fillId="0" borderId="56" xfId="365" applyBorder="1" applyAlignment="1">
      <alignment horizontal="center" vertical="center" wrapText="1"/>
    </xf>
    <xf numFmtId="0" fontId="70" fillId="0" borderId="27" xfId="365" applyBorder="1" applyAlignment="1">
      <alignment vertical="center" wrapText="1"/>
    </xf>
    <xf numFmtId="0" fontId="70" fillId="0" borderId="128" xfId="365" applyBorder="1" applyAlignment="1">
      <alignment horizontal="center" vertical="center" wrapText="1"/>
    </xf>
    <xf numFmtId="0" fontId="23" fillId="35" borderId="137" xfId="203" applyFill="1" applyBorder="1" applyAlignment="1">
      <alignment horizontal="left" vertical="center" wrapText="1"/>
    </xf>
    <xf numFmtId="0" fontId="60" fillId="0" borderId="0" xfId="365" applyFont="1" applyAlignment="1">
      <alignment vertical="center"/>
    </xf>
    <xf numFmtId="0" fontId="65" fillId="0" borderId="0" xfId="388" applyFont="1" applyAlignment="1">
      <alignment horizontal="center" vertical="center"/>
    </xf>
    <xf numFmtId="0" fontId="54" fillId="0" borderId="0" xfId="388" applyFont="1"/>
    <xf numFmtId="0" fontId="54" fillId="0" borderId="0" xfId="388" applyFont="1" applyAlignment="1">
      <alignment horizontal="center" vertical="center"/>
    </xf>
    <xf numFmtId="0" fontId="23" fillId="0" borderId="120" xfId="388" applyFont="1" applyBorder="1" applyAlignment="1">
      <alignment horizontal="center" vertical="center"/>
    </xf>
    <xf numFmtId="0" fontId="54" fillId="0" borderId="0" xfId="388" applyFont="1" applyAlignment="1">
      <alignment vertical="center"/>
    </xf>
    <xf numFmtId="0" fontId="70" fillId="0" borderId="120" xfId="388" applyFont="1" applyBorder="1" applyAlignment="1">
      <alignment horizontal="left" vertical="center"/>
    </xf>
    <xf numFmtId="0" fontId="70" fillId="0" borderId="120" xfId="388" applyFont="1" applyBorder="1" applyAlignment="1">
      <alignment horizontal="center" vertical="center"/>
    </xf>
    <xf numFmtId="0" fontId="70" fillId="0" borderId="86" xfId="388" applyFont="1" applyBorder="1" applyAlignment="1">
      <alignment vertical="center"/>
    </xf>
    <xf numFmtId="0" fontId="70" fillId="0" borderId="55" xfId="388" applyFont="1" applyBorder="1" applyAlignment="1">
      <alignment vertical="center"/>
    </xf>
    <xf numFmtId="0" fontId="23" fillId="0" borderId="120" xfId="388" applyFont="1" applyBorder="1" applyAlignment="1" applyProtection="1">
      <alignment horizontal="center" vertical="center"/>
      <protection locked="0"/>
    </xf>
    <xf numFmtId="0" fontId="70" fillId="0" borderId="134" xfId="388" applyFont="1" applyBorder="1" applyAlignment="1">
      <alignment vertical="center"/>
    </xf>
    <xf numFmtId="0" fontId="23" fillId="28" borderId="117" xfId="389" applyFont="1" applyFill="1" applyBorder="1" applyAlignment="1">
      <alignment horizontal="center" vertical="center"/>
    </xf>
    <xf numFmtId="0" fontId="70" fillId="0" borderId="143" xfId="388" applyFont="1" applyBorder="1" applyAlignment="1">
      <alignment vertical="center"/>
    </xf>
    <xf numFmtId="0" fontId="70" fillId="0" borderId="141" xfId="388" applyFont="1" applyBorder="1" applyAlignment="1">
      <alignment vertical="center"/>
    </xf>
    <xf numFmtId="0" fontId="70" fillId="0" borderId="144" xfId="388" applyFont="1" applyBorder="1" applyAlignment="1">
      <alignment vertical="center"/>
    </xf>
    <xf numFmtId="0" fontId="70" fillId="0" borderId="0" xfId="388" applyFont="1" applyAlignment="1">
      <alignment vertical="center"/>
    </xf>
    <xf numFmtId="0" fontId="70" fillId="0" borderId="120" xfId="388" applyFont="1" applyBorder="1" applyAlignment="1">
      <alignment horizontal="center" vertical="center" wrapText="1"/>
    </xf>
    <xf numFmtId="0" fontId="23" fillId="0" borderId="120" xfId="388" applyFont="1" applyBorder="1" applyAlignment="1" applyProtection="1">
      <alignment horizontal="center" vertical="center" wrapText="1"/>
      <protection locked="0"/>
    </xf>
    <xf numFmtId="0" fontId="70" fillId="0" borderId="132" xfId="388" applyFont="1" applyBorder="1" applyAlignment="1">
      <alignment vertical="center"/>
    </xf>
    <xf numFmtId="0" fontId="70" fillId="0" borderId="119" xfId="388" applyFont="1" applyBorder="1" applyAlignment="1">
      <alignment vertical="center"/>
    </xf>
    <xf numFmtId="0" fontId="70" fillId="0" borderId="140" xfId="390" applyFont="1" applyBorder="1" applyAlignment="1">
      <alignment vertical="center"/>
    </xf>
    <xf numFmtId="166" fontId="23" fillId="25" borderId="64" xfId="352" applyNumberFormat="1" applyFont="1" applyFill="1" applyBorder="1" applyAlignment="1" applyProtection="1">
      <alignment horizontal="right" vertical="center"/>
    </xf>
    <xf numFmtId="0" fontId="70" fillId="0" borderId="156" xfId="388" applyFont="1" applyBorder="1" applyAlignment="1">
      <alignment vertical="center"/>
    </xf>
    <xf numFmtId="0" fontId="70" fillId="0" borderId="121" xfId="388" applyFont="1" applyBorder="1" applyAlignment="1">
      <alignment vertical="center"/>
    </xf>
    <xf numFmtId="0" fontId="23" fillId="0" borderId="117" xfId="389" applyFont="1" applyBorder="1" applyAlignment="1">
      <alignment horizontal="center" vertical="center"/>
    </xf>
    <xf numFmtId="0" fontId="78" fillId="0" borderId="134" xfId="388" applyFont="1" applyBorder="1" applyAlignment="1">
      <alignment horizontal="center" vertical="center"/>
    </xf>
    <xf numFmtId="0" fontId="1" fillId="0" borderId="134" xfId="388" applyBorder="1" applyAlignment="1">
      <alignment horizontal="center" vertical="center"/>
    </xf>
    <xf numFmtId="0" fontId="70" fillId="0" borderId="146" xfId="388" applyFont="1" applyBorder="1" applyAlignment="1">
      <alignment vertical="center"/>
    </xf>
    <xf numFmtId="0" fontId="70" fillId="0" borderId="152" xfId="388" applyFont="1" applyBorder="1" applyAlignment="1">
      <alignment vertical="center"/>
    </xf>
    <xf numFmtId="0" fontId="86" fillId="0" borderId="27" xfId="391" applyFont="1" applyBorder="1" applyAlignment="1">
      <alignment horizontal="center" vertical="center"/>
    </xf>
    <xf numFmtId="0" fontId="46" fillId="0" borderId="44" xfId="388" applyFont="1" applyBorder="1" applyAlignment="1">
      <alignment horizontal="center" vertical="center" wrapText="1"/>
    </xf>
    <xf numFmtId="0" fontId="70" fillId="0" borderId="131" xfId="388" applyFont="1" applyBorder="1" applyAlignment="1">
      <alignment vertical="center"/>
    </xf>
    <xf numFmtId="0" fontId="57" fillId="0" borderId="137" xfId="391" applyFont="1" applyBorder="1"/>
    <xf numFmtId="0" fontId="57" fillId="0" borderId="117" xfId="391" applyFont="1" applyBorder="1" applyAlignment="1">
      <alignment horizontal="center" vertical="center"/>
    </xf>
    <xf numFmtId="0" fontId="70" fillId="0" borderId="46" xfId="388" applyFont="1" applyBorder="1" applyAlignment="1">
      <alignment vertical="center"/>
    </xf>
    <xf numFmtId="0" fontId="57" fillId="0" borderId="128" xfId="391" applyFont="1" applyBorder="1" applyAlignment="1">
      <alignment horizontal="center" vertical="center"/>
    </xf>
    <xf numFmtId="0" fontId="54" fillId="0" borderId="80" xfId="388" applyFont="1" applyBorder="1"/>
    <xf numFmtId="0" fontId="55" fillId="0" borderId="0" xfId="388" applyFont="1"/>
    <xf numFmtId="0" fontId="54" fillId="0" borderId="37" xfId="388" applyFont="1" applyBorder="1"/>
    <xf numFmtId="0" fontId="54" fillId="0" borderId="142" xfId="388" applyFont="1" applyBorder="1" applyAlignment="1">
      <alignment horizontal="center" vertical="center"/>
    </xf>
    <xf numFmtId="0" fontId="70" fillId="28" borderId="77" xfId="388" applyFont="1" applyFill="1" applyBorder="1" applyAlignment="1">
      <alignment vertical="center"/>
    </xf>
    <xf numFmtId="166" fontId="23" fillId="28" borderId="27" xfId="389" applyNumberFormat="1" applyFont="1" applyFill="1" applyBorder="1" applyAlignment="1">
      <alignment horizontal="center" vertical="center"/>
    </xf>
    <xf numFmtId="0" fontId="70" fillId="0" borderId="75" xfId="388" applyFont="1" applyBorder="1" applyAlignment="1">
      <alignment vertical="center"/>
    </xf>
    <xf numFmtId="0" fontId="70" fillId="0" borderId="77" xfId="388" applyFont="1" applyBorder="1" applyAlignment="1">
      <alignment vertical="center"/>
    </xf>
    <xf numFmtId="0" fontId="23" fillId="28" borderId="117" xfId="392" applyFont="1" applyFill="1" applyBorder="1" applyAlignment="1">
      <alignment horizontal="center" vertical="center"/>
    </xf>
    <xf numFmtId="0" fontId="81" fillId="0" borderId="0" xfId="388" applyFont="1" applyAlignment="1">
      <alignment horizontal="center" vertical="center"/>
    </xf>
    <xf numFmtId="0" fontId="70" fillId="0" borderId="0" xfId="388" applyFont="1" applyAlignment="1">
      <alignment horizontal="center" vertical="center"/>
    </xf>
    <xf numFmtId="0" fontId="70" fillId="28" borderId="46" xfId="388" applyFont="1" applyFill="1" applyBorder="1" applyAlignment="1">
      <alignment vertical="center"/>
    </xf>
    <xf numFmtId="0" fontId="56" fillId="28" borderId="14" xfId="388" applyFont="1" applyFill="1" applyBorder="1" applyAlignment="1">
      <alignment vertical="center"/>
    </xf>
    <xf numFmtId="0" fontId="36" fillId="28" borderId="99" xfId="388" applyFont="1" applyFill="1" applyBorder="1" applyAlignment="1">
      <alignment horizontal="center" vertical="center"/>
    </xf>
    <xf numFmtId="0" fontId="70" fillId="0" borderId="66" xfId="388" applyFont="1" applyBorder="1" applyAlignment="1">
      <alignment vertical="center"/>
    </xf>
    <xf numFmtId="0" fontId="56" fillId="28" borderId="12" xfId="388" applyFont="1" applyFill="1" applyBorder="1" applyAlignment="1">
      <alignment vertical="center"/>
    </xf>
    <xf numFmtId="0" fontId="36" fillId="28" borderId="12" xfId="388" applyFont="1" applyFill="1" applyBorder="1" applyAlignment="1">
      <alignment horizontal="center" vertical="center"/>
    </xf>
    <xf numFmtId="0" fontId="70" fillId="0" borderId="37" xfId="388" applyFont="1" applyBorder="1" applyAlignment="1">
      <alignment vertical="center"/>
    </xf>
    <xf numFmtId="0" fontId="70" fillId="0" borderId="61" xfId="388" applyFont="1" applyBorder="1" applyAlignment="1">
      <alignment vertical="center"/>
    </xf>
    <xf numFmtId="0" fontId="56" fillId="28" borderId="98" xfId="388" applyFont="1" applyFill="1" applyBorder="1" applyAlignment="1">
      <alignment vertical="center"/>
    </xf>
    <xf numFmtId="0" fontId="36" fillId="28" borderId="16" xfId="388" applyFont="1" applyFill="1" applyBorder="1" applyAlignment="1">
      <alignment horizontal="center" vertical="center"/>
    </xf>
    <xf numFmtId="0" fontId="70" fillId="0" borderId="41" xfId="388" applyFont="1" applyBorder="1" applyAlignment="1">
      <alignment vertical="center"/>
    </xf>
    <xf numFmtId="0" fontId="54" fillId="0" borderId="17" xfId="388" applyFont="1" applyBorder="1"/>
    <xf numFmtId="0" fontId="56" fillId="0" borderId="34" xfId="390" applyFont="1" applyBorder="1" applyAlignment="1">
      <alignment vertical="center"/>
    </xf>
    <xf numFmtId="0" fontId="56" fillId="0" borderId="35" xfId="390" applyFont="1" applyBorder="1" applyAlignment="1">
      <alignment horizontal="center" vertical="center"/>
    </xf>
    <xf numFmtId="0" fontId="56" fillId="0" borderId="36" xfId="390" applyFont="1" applyBorder="1" applyAlignment="1">
      <alignment horizontal="center" vertical="center"/>
    </xf>
    <xf numFmtId="0" fontId="56" fillId="0" borderId="134" xfId="390" applyFont="1" applyBorder="1" applyAlignment="1">
      <alignment vertical="center"/>
    </xf>
    <xf numFmtId="166" fontId="36" fillId="0" borderId="117" xfId="389" applyNumberFormat="1" applyFont="1" applyBorder="1" applyAlignment="1">
      <alignment horizontal="center" vertical="center"/>
    </xf>
    <xf numFmtId="0" fontId="58" fillId="0" borderId="143" xfId="390" applyFont="1" applyBorder="1" applyAlignment="1">
      <alignment horizontal="center" vertical="center"/>
    </xf>
    <xf numFmtId="0" fontId="56" fillId="0" borderId="46" xfId="390" applyFont="1" applyBorder="1" applyAlignment="1">
      <alignment vertical="center"/>
    </xf>
    <xf numFmtId="166" fontId="36" fillId="0" borderId="115" xfId="389" applyNumberFormat="1" applyFont="1" applyBorder="1" applyAlignment="1">
      <alignment horizontal="center" vertical="center"/>
    </xf>
    <xf numFmtId="0" fontId="58" fillId="0" borderId="114" xfId="390" applyFont="1" applyBorder="1" applyAlignment="1">
      <alignment horizontal="center" vertical="center"/>
    </xf>
    <xf numFmtId="0" fontId="54" fillId="0" borderId="66" xfId="0" applyFont="1" applyBorder="1" applyAlignment="1">
      <alignment vertical="center"/>
    </xf>
    <xf numFmtId="0" fontId="54" fillId="0" borderId="12" xfId="0" applyFont="1" applyBorder="1" applyAlignment="1">
      <alignment vertical="center"/>
    </xf>
    <xf numFmtId="0" fontId="23" fillId="0" borderId="28" xfId="0" applyFont="1" applyBorder="1" applyAlignment="1">
      <alignment horizontal="center" vertical="center"/>
    </xf>
    <xf numFmtId="0" fontId="43" fillId="0" borderId="16" xfId="0" applyFont="1" applyBorder="1" applyAlignment="1">
      <alignment horizontal="center" vertical="center"/>
    </xf>
    <xf numFmtId="0" fontId="34" fillId="0" borderId="12" xfId="0" applyFont="1" applyBorder="1" applyAlignment="1">
      <alignment vertical="center" wrapText="1"/>
    </xf>
    <xf numFmtId="0" fontId="38" fillId="0" borderId="12" xfId="0" applyFont="1" applyBorder="1" applyAlignment="1">
      <alignment horizontal="center" vertical="center" wrapText="1"/>
    </xf>
    <xf numFmtId="0" fontId="54" fillId="0" borderId="43" xfId="0" applyFont="1" applyBorder="1" applyAlignment="1">
      <alignment vertical="center" wrapText="1"/>
    </xf>
    <xf numFmtId="0" fontId="54" fillId="25" borderId="43" xfId="0" applyFont="1" applyFill="1" applyBorder="1" applyAlignment="1" applyProtection="1">
      <alignment horizontal="center" vertical="center"/>
      <protection locked="0"/>
    </xf>
    <xf numFmtId="0" fontId="54" fillId="0" borderId="12" xfId="0" applyFont="1" applyBorder="1" applyAlignment="1">
      <alignment vertical="center" wrapText="1"/>
    </xf>
    <xf numFmtId="0" fontId="54" fillId="0" borderId="15" xfId="0" applyFont="1" applyBorder="1" applyAlignment="1">
      <alignment horizontal="center" vertical="center"/>
    </xf>
    <xf numFmtId="0" fontId="54" fillId="25" borderId="12" xfId="0" applyFont="1" applyFill="1" applyBorder="1" applyAlignment="1" applyProtection="1">
      <alignment horizontal="center" vertical="center"/>
      <protection locked="0"/>
    </xf>
    <xf numFmtId="0" fontId="54" fillId="25" borderId="59" xfId="0" applyFont="1" applyFill="1" applyBorder="1" applyAlignment="1" applyProtection="1">
      <alignment horizontal="center" vertical="center"/>
      <protection locked="0"/>
    </xf>
    <xf numFmtId="0" fontId="56" fillId="47" borderId="15" xfId="0" applyFont="1" applyFill="1" applyBorder="1" applyAlignment="1">
      <alignment horizontal="center" vertical="center"/>
    </xf>
    <xf numFmtId="0" fontId="54" fillId="0" borderId="14" xfId="0" applyFont="1" applyBorder="1" applyAlignment="1">
      <alignment vertical="center"/>
    </xf>
    <xf numFmtId="0" fontId="54" fillId="0" borderId="118" xfId="0" applyFont="1" applyBorder="1" applyAlignment="1">
      <alignment horizontal="center" vertical="center"/>
    </xf>
    <xf numFmtId="0" fontId="54" fillId="0" borderId="140" xfId="0" applyFont="1" applyBorder="1" applyAlignment="1">
      <alignment horizontal="center" vertical="center"/>
    </xf>
    <xf numFmtId="0" fontId="54" fillId="25" borderId="64" xfId="0" applyFont="1" applyFill="1" applyBorder="1" applyAlignment="1" applyProtection="1">
      <alignment horizontal="center" vertical="center"/>
      <protection locked="0"/>
    </xf>
    <xf numFmtId="164" fontId="34" fillId="25" borderId="16" xfId="0" applyNumberFormat="1" applyFont="1" applyFill="1" applyBorder="1" applyAlignment="1" applyProtection="1">
      <alignment horizontal="center" vertical="center"/>
      <protection locked="0"/>
    </xf>
    <xf numFmtId="0" fontId="23" fillId="25" borderId="38" xfId="203" applyFill="1" applyBorder="1" applyAlignment="1">
      <alignment horizontal="center" vertical="center"/>
    </xf>
    <xf numFmtId="0" fontId="23" fillId="25" borderId="64" xfId="203" applyFill="1" applyBorder="1" applyAlignment="1">
      <alignment horizontal="center" vertical="center"/>
    </xf>
    <xf numFmtId="10" fontId="38" fillId="28" borderId="41" xfId="203" applyNumberFormat="1" applyFont="1" applyFill="1" applyBorder="1" applyAlignment="1">
      <alignment horizontal="center" vertical="center"/>
    </xf>
    <xf numFmtId="0" fontId="127" fillId="0" borderId="0" xfId="0" applyFont="1" applyAlignment="1">
      <alignment horizontal="justify" vertical="center"/>
    </xf>
    <xf numFmtId="0" fontId="128" fillId="0" borderId="0" xfId="0" applyFont="1"/>
    <xf numFmtId="0" fontId="129" fillId="0" borderId="0" xfId="0" applyFont="1" applyAlignment="1">
      <alignment horizontal="justify" vertical="center"/>
    </xf>
    <xf numFmtId="0" fontId="130" fillId="0" borderId="12" xfId="0" applyFont="1" applyBorder="1" applyAlignment="1">
      <alignment horizontal="left" vertical="center" wrapText="1"/>
    </xf>
    <xf numFmtId="0" fontId="130" fillId="0" borderId="16" xfId="0" applyFont="1" applyBorder="1" applyAlignment="1">
      <alignment horizontal="left" vertical="center" wrapText="1"/>
    </xf>
    <xf numFmtId="0" fontId="129" fillId="0" borderId="41" xfId="0" applyFont="1" applyBorder="1" applyAlignment="1">
      <alignment horizontal="left" vertical="center" wrapText="1"/>
    </xf>
    <xf numFmtId="0" fontId="129" fillId="0" borderId="152" xfId="0" applyFont="1" applyBorder="1" applyAlignment="1">
      <alignment horizontal="left" vertical="center" wrapText="1"/>
    </xf>
    <xf numFmtId="14" fontId="128" fillId="0" borderId="12" xfId="0" applyNumberFormat="1" applyFont="1" applyBorder="1" applyAlignment="1">
      <alignment horizontal="left"/>
    </xf>
    <xf numFmtId="0" fontId="128" fillId="0" borderId="12" xfId="0" applyFont="1" applyBorder="1"/>
    <xf numFmtId="14" fontId="129" fillId="0" borderId="12" xfId="0" applyNumberFormat="1" applyFont="1" applyBorder="1" applyAlignment="1">
      <alignment horizontal="left" vertical="center"/>
    </xf>
    <xf numFmtId="0" fontId="74" fillId="0" borderId="107" xfId="348" applyFont="1" applyBorder="1" applyAlignment="1">
      <alignment vertical="center" wrapText="1"/>
    </xf>
    <xf numFmtId="0" fontId="74" fillId="0" borderId="62" xfId="348" applyFont="1" applyBorder="1" applyAlignment="1">
      <alignment vertical="center" wrapText="1"/>
    </xf>
    <xf numFmtId="2" fontId="119" fillId="28" borderId="84" xfId="0" applyNumberFormat="1" applyFont="1" applyFill="1" applyBorder="1" applyAlignment="1">
      <alignment horizontal="center" vertical="center"/>
    </xf>
    <xf numFmtId="1" fontId="119" fillId="28" borderId="14" xfId="0" applyNumberFormat="1" applyFont="1" applyFill="1" applyBorder="1" applyAlignment="1">
      <alignment horizontal="center" vertical="center"/>
    </xf>
    <xf numFmtId="0" fontId="54" fillId="0" borderId="38" xfId="0" applyFont="1" applyBorder="1" applyAlignment="1">
      <alignment horizontal="left" wrapText="1"/>
    </xf>
    <xf numFmtId="0" fontId="38" fillId="0" borderId="0" xfId="0" applyFont="1" applyAlignment="1">
      <alignment horizontal="center" textRotation="90" wrapText="1"/>
    </xf>
    <xf numFmtId="0" fontId="0" fillId="0" borderId="0" xfId="0"/>
    <xf numFmtId="0" fontId="39" fillId="0" borderId="0" xfId="0" applyFont="1" applyAlignment="1">
      <alignment horizontal="left" vertical="center" wrapText="1"/>
    </xf>
    <xf numFmtId="0" fontId="38" fillId="0" borderId="20" xfId="0" applyFont="1" applyBorder="1" applyAlignment="1">
      <alignment horizontal="center" vertical="center" wrapText="1"/>
    </xf>
    <xf numFmtId="0" fontId="38" fillId="0" borderId="21" xfId="0" applyFont="1" applyBorder="1" applyAlignment="1">
      <alignment horizontal="center" vertical="center" wrapText="1"/>
    </xf>
    <xf numFmtId="0" fontId="38" fillId="0" borderId="22" xfId="0" applyFont="1" applyBorder="1" applyAlignment="1">
      <alignment horizontal="center" vertical="center" wrapText="1"/>
    </xf>
    <xf numFmtId="0" fontId="38" fillId="0" borderId="24" xfId="0" applyFont="1" applyBorder="1" applyAlignment="1">
      <alignment horizontal="center" vertical="center" wrapText="1"/>
    </xf>
    <xf numFmtId="0" fontId="38" fillId="0" borderId="0" xfId="0" applyFont="1" applyAlignment="1">
      <alignment horizontal="center" vertical="center" wrapText="1"/>
    </xf>
    <xf numFmtId="0" fontId="38" fillId="0" borderId="30" xfId="0" applyFont="1" applyBorder="1" applyAlignment="1">
      <alignment horizontal="center" vertical="center" wrapText="1"/>
    </xf>
    <xf numFmtId="0" fontId="38" fillId="0" borderId="23" xfId="0" applyFont="1" applyBorder="1" applyAlignment="1">
      <alignment horizontal="center" vertical="center" wrapText="1"/>
    </xf>
    <xf numFmtId="0" fontId="38" fillId="0" borderId="31" xfId="0" applyFont="1" applyBorder="1" applyAlignment="1">
      <alignment horizontal="center" vertical="center" wrapText="1"/>
    </xf>
    <xf numFmtId="1" fontId="39" fillId="0" borderId="14" xfId="0" applyNumberFormat="1" applyFont="1" applyBorder="1" applyAlignment="1">
      <alignment horizontal="center" vertical="center"/>
    </xf>
    <xf numFmtId="1" fontId="39" fillId="0" borderId="16" xfId="0" applyNumberFormat="1" applyFont="1" applyBorder="1" applyAlignment="1">
      <alignment horizontal="center" vertical="center"/>
    </xf>
    <xf numFmtId="164" fontId="34" fillId="0" borderId="14" xfId="0" applyNumberFormat="1" applyFont="1" applyBorder="1" applyAlignment="1" applyProtection="1">
      <alignment horizontal="center" vertical="center"/>
      <protection locked="0"/>
    </xf>
    <xf numFmtId="164" fontId="34" fillId="0" borderId="15" xfId="0" applyNumberFormat="1" applyFont="1" applyBorder="1" applyAlignment="1" applyProtection="1">
      <alignment horizontal="center" vertical="center"/>
      <protection locked="0"/>
    </xf>
    <xf numFmtId="164" fontId="34" fillId="0" borderId="16" xfId="0" applyNumberFormat="1" applyFont="1" applyBorder="1" applyAlignment="1" applyProtection="1">
      <alignment horizontal="center" vertical="center"/>
      <protection locked="0"/>
    </xf>
    <xf numFmtId="0" fontId="41" fillId="0" borderId="98" xfId="0" applyFont="1" applyBorder="1" applyAlignment="1">
      <alignment horizontal="center" vertical="center" wrapText="1"/>
    </xf>
    <xf numFmtId="0" fontId="41" fillId="0" borderId="102" xfId="0" applyFont="1" applyBorder="1" applyAlignment="1">
      <alignment horizontal="center" vertical="center" wrapText="1"/>
    </xf>
    <xf numFmtId="0" fontId="41" fillId="0" borderId="99" xfId="0" applyFont="1" applyBorder="1" applyAlignment="1">
      <alignment horizontal="center" vertical="center" wrapText="1"/>
    </xf>
    <xf numFmtId="0" fontId="33" fillId="0" borderId="0" xfId="0" applyFont="1" applyAlignment="1">
      <alignment horizontal="left" wrapText="1"/>
    </xf>
    <xf numFmtId="0" fontId="34" fillId="24" borderId="12" xfId="0" applyFont="1" applyFill="1" applyBorder="1" applyAlignment="1">
      <alignment horizontal="left" vertical="center" wrapText="1"/>
    </xf>
    <xf numFmtId="0" fontId="34" fillId="27" borderId="12" xfId="0" applyFont="1" applyFill="1" applyBorder="1" applyAlignment="1">
      <alignment horizontal="left" vertical="center" wrapText="1"/>
    </xf>
    <xf numFmtId="0" fontId="23" fillId="0" borderId="72" xfId="0" applyFont="1" applyBorder="1" applyAlignment="1">
      <alignment horizontal="left" vertical="center" wrapText="1"/>
    </xf>
    <xf numFmtId="0" fontId="23" fillId="0" borderId="79" xfId="0" applyFont="1" applyBorder="1" applyAlignment="1">
      <alignment horizontal="left" vertical="center"/>
    </xf>
    <xf numFmtId="0" fontId="23" fillId="0" borderId="44" xfId="0" applyFont="1" applyBorder="1" applyAlignment="1">
      <alignment horizontal="left" vertical="center"/>
    </xf>
    <xf numFmtId="0" fontId="23" fillId="0" borderId="26" xfId="0" applyFont="1" applyBorder="1" applyAlignment="1">
      <alignment horizontal="left" vertical="center"/>
    </xf>
    <xf numFmtId="0" fontId="23" fillId="0" borderId="93" xfId="0" applyFont="1" applyBorder="1" applyAlignment="1">
      <alignment horizontal="left" vertical="center"/>
    </xf>
    <xf numFmtId="0" fontId="23" fillId="0" borderId="28" xfId="0" applyFont="1" applyBorder="1" applyAlignment="1">
      <alignment horizontal="left" vertical="center"/>
    </xf>
    <xf numFmtId="0" fontId="65" fillId="0" borderId="72" xfId="0" applyFont="1" applyBorder="1" applyAlignment="1">
      <alignment horizontal="left" vertical="center" wrapText="1"/>
    </xf>
    <xf numFmtId="0" fontId="65" fillId="0" borderId="79" xfId="0" applyFont="1" applyBorder="1" applyAlignment="1">
      <alignment horizontal="left" vertical="center"/>
    </xf>
    <xf numFmtId="0" fontId="65" fillId="0" borderId="44" xfId="0" applyFont="1" applyBorder="1" applyAlignment="1">
      <alignment horizontal="left" vertical="center"/>
    </xf>
    <xf numFmtId="0" fontId="65" fillId="0" borderId="26" xfId="0" applyFont="1" applyBorder="1" applyAlignment="1">
      <alignment horizontal="left" vertical="center"/>
    </xf>
    <xf numFmtId="0" fontId="65" fillId="0" borderId="93" xfId="0" applyFont="1" applyBorder="1" applyAlignment="1">
      <alignment horizontal="left" vertical="center"/>
    </xf>
    <xf numFmtId="0" fontId="65" fillId="0" borderId="28" xfId="0" applyFont="1" applyBorder="1" applyAlignment="1">
      <alignment horizontal="left" vertical="center"/>
    </xf>
    <xf numFmtId="0" fontId="23" fillId="0" borderId="125" xfId="203" applyBorder="1" applyAlignment="1" applyProtection="1">
      <alignment horizontal="left" vertical="top" wrapText="1"/>
      <protection locked="0"/>
    </xf>
    <xf numFmtId="0" fontId="23" fillId="0" borderId="27" xfId="203" applyBorder="1" applyAlignment="1" applyProtection="1">
      <alignment horizontal="left" vertical="top" wrapText="1"/>
      <protection locked="0"/>
    </xf>
    <xf numFmtId="0" fontId="74" fillId="0" borderId="140" xfId="203" applyFont="1" applyBorder="1" applyAlignment="1">
      <alignment horizontal="left" vertical="center" wrapText="1"/>
    </xf>
    <xf numFmtId="0" fontId="74" fillId="0" borderId="130" xfId="203" applyFont="1" applyBorder="1" applyAlignment="1">
      <alignment horizontal="left" vertical="center" wrapText="1"/>
    </xf>
    <xf numFmtId="0" fontId="74" fillId="0" borderId="131" xfId="203" applyFont="1" applyBorder="1" applyAlignment="1">
      <alignment horizontal="left" vertical="center" wrapText="1"/>
    </xf>
    <xf numFmtId="0" fontId="74" fillId="43" borderId="141" xfId="203" applyFont="1" applyFill="1" applyBorder="1" applyAlignment="1">
      <alignment horizontal="left" vertical="center" wrapText="1"/>
    </xf>
    <xf numFmtId="0" fontId="74" fillId="43" borderId="135" xfId="203" applyFont="1" applyFill="1" applyBorder="1" applyAlignment="1">
      <alignment horizontal="left" vertical="center" wrapText="1"/>
    </xf>
    <xf numFmtId="0" fontId="74" fillId="43" borderId="120" xfId="203" applyFont="1" applyFill="1" applyBorder="1" applyAlignment="1">
      <alignment horizontal="left" vertical="center" wrapText="1"/>
    </xf>
    <xf numFmtId="0" fontId="23" fillId="0" borderId="133" xfId="203" applyBorder="1" applyAlignment="1">
      <alignment horizontal="center" vertical="center" wrapText="1"/>
    </xf>
    <xf numFmtId="0" fontId="23" fillId="0" borderId="108" xfId="203" applyBorder="1" applyAlignment="1">
      <alignment horizontal="center" vertical="center" wrapText="1"/>
    </xf>
    <xf numFmtId="0" fontId="23" fillId="0" borderId="148" xfId="203" applyBorder="1" applyAlignment="1">
      <alignment horizontal="center" vertical="center" wrapText="1"/>
    </xf>
    <xf numFmtId="0" fontId="23" fillId="25" borderId="66" xfId="359" applyFont="1" applyFill="1" applyBorder="1" applyAlignment="1" applyProtection="1">
      <alignment horizontal="center" vertical="center" wrapText="1"/>
      <protection locked="0"/>
    </xf>
    <xf numFmtId="0" fontId="23" fillId="25" borderId="61" xfId="359" applyFont="1" applyFill="1" applyBorder="1" applyAlignment="1" applyProtection="1">
      <alignment horizontal="center" vertical="center" wrapText="1"/>
      <protection locked="0"/>
    </xf>
    <xf numFmtId="0" fontId="23" fillId="25" borderId="41" xfId="359" applyFont="1" applyFill="1" applyBorder="1" applyAlignment="1" applyProtection="1">
      <alignment horizontal="center" vertical="center" wrapText="1"/>
      <protection locked="0"/>
    </xf>
    <xf numFmtId="0" fontId="23" fillId="0" borderId="110" xfId="378" applyFont="1" applyBorder="1" applyAlignment="1" applyProtection="1">
      <alignment horizontal="center" vertical="center" wrapText="1"/>
      <protection locked="0"/>
    </xf>
    <xf numFmtId="0" fontId="36" fillId="47" borderId="14" xfId="203" applyFont="1" applyFill="1" applyBorder="1" applyAlignment="1">
      <alignment horizontal="left" vertical="center" wrapText="1"/>
    </xf>
    <xf numFmtId="0" fontId="36" fillId="47" borderId="15" xfId="203" applyFont="1" applyFill="1" applyBorder="1" applyAlignment="1">
      <alignment horizontal="left" vertical="center" wrapText="1"/>
    </xf>
    <xf numFmtId="0" fontId="36" fillId="47" borderId="16" xfId="203" applyFont="1" applyFill="1" applyBorder="1" applyAlignment="1">
      <alignment horizontal="left" vertical="center" wrapText="1"/>
    </xf>
    <xf numFmtId="0" fontId="23" fillId="0" borderId="147" xfId="203" applyBorder="1" applyAlignment="1">
      <alignment horizontal="center" vertical="center" wrapText="1"/>
    </xf>
    <xf numFmtId="0" fontId="73" fillId="0" borderId="34" xfId="203" applyFont="1" applyBorder="1" applyAlignment="1">
      <alignment horizontal="left" vertical="center" wrapText="1"/>
    </xf>
    <xf numFmtId="0" fontId="73" fillId="0" borderId="35" xfId="203" applyFont="1" applyBorder="1" applyAlignment="1">
      <alignment horizontal="left" vertical="center" wrapText="1"/>
    </xf>
    <xf numFmtId="0" fontId="23" fillId="0" borderId="36" xfId="203" applyBorder="1" applyAlignment="1">
      <alignment horizontal="center" vertical="center" wrapText="1"/>
    </xf>
    <xf numFmtId="0" fontId="23" fillId="0" borderId="143" xfId="203" applyBorder="1" applyAlignment="1">
      <alignment horizontal="center" vertical="center" wrapText="1"/>
    </xf>
    <xf numFmtId="0" fontId="23" fillId="0" borderId="114" xfId="203" applyBorder="1" applyAlignment="1">
      <alignment horizontal="center" vertical="center" wrapText="1"/>
    </xf>
    <xf numFmtId="0" fontId="70" fillId="0" borderId="61" xfId="0" applyFont="1" applyBorder="1" applyAlignment="1">
      <alignment horizontal="center" vertical="center" wrapText="1"/>
    </xf>
    <xf numFmtId="0" fontId="70" fillId="0" borderId="41" xfId="0" applyFont="1" applyBorder="1" applyAlignment="1">
      <alignment horizontal="center" vertical="center" wrapText="1"/>
    </xf>
    <xf numFmtId="0" fontId="74" fillId="43" borderId="134" xfId="203" applyFont="1" applyFill="1" applyBorder="1" applyAlignment="1">
      <alignment horizontal="left" vertical="center" wrapText="1"/>
    </xf>
    <xf numFmtId="0" fontId="74" fillId="43" borderId="117" xfId="203" applyFont="1" applyFill="1" applyBorder="1" applyAlignment="1">
      <alignment horizontal="left" vertical="center" wrapText="1"/>
    </xf>
    <xf numFmtId="0" fontId="74" fillId="0" borderId="134" xfId="203" applyFont="1" applyBorder="1" applyAlignment="1">
      <alignment horizontal="left" vertical="center" wrapText="1"/>
    </xf>
    <xf numFmtId="0" fontId="74" fillId="0" borderId="117" xfId="203" applyFont="1" applyBorder="1" applyAlignment="1">
      <alignment horizontal="left" vertical="center" wrapText="1"/>
    </xf>
    <xf numFmtId="0" fontId="23" fillId="0" borderId="116" xfId="376" applyBorder="1" applyAlignment="1">
      <alignment horizontal="left" vertical="center" wrapText="1"/>
    </xf>
    <xf numFmtId="0" fontId="23" fillId="0" borderId="115" xfId="376" applyBorder="1" applyAlignment="1">
      <alignment horizontal="left" vertical="center" wrapText="1"/>
    </xf>
    <xf numFmtId="0" fontId="23" fillId="0" borderId="116" xfId="203" applyBorder="1" applyAlignment="1">
      <alignment horizontal="left" vertical="center" wrapText="1"/>
    </xf>
    <xf numFmtId="0" fontId="23" fillId="0" borderId="115" xfId="203" applyBorder="1" applyAlignment="1">
      <alignment horizontal="left" vertical="center" wrapText="1"/>
    </xf>
    <xf numFmtId="0" fontId="74" fillId="0" borderId="141" xfId="203" applyFont="1" applyBorder="1" applyAlignment="1">
      <alignment horizontal="left" vertical="center" wrapText="1"/>
    </xf>
    <xf numFmtId="0" fontId="74" fillId="0" borderId="135" xfId="203" applyFont="1" applyBorder="1" applyAlignment="1">
      <alignment horizontal="left" vertical="center" wrapText="1"/>
    </xf>
    <xf numFmtId="0" fontId="74" fillId="0" borderId="120" xfId="203" applyFont="1" applyBorder="1" applyAlignment="1">
      <alignment horizontal="left" vertical="center" wrapText="1"/>
    </xf>
    <xf numFmtId="0" fontId="23" fillId="0" borderId="110" xfId="203" applyBorder="1" applyAlignment="1" applyProtection="1">
      <alignment horizontal="center" vertical="center"/>
      <protection locked="0"/>
    </xf>
    <xf numFmtId="0" fontId="23" fillId="0" borderId="110" xfId="378" applyFont="1" applyBorder="1" applyAlignment="1" applyProtection="1">
      <alignment horizontal="center" vertical="center"/>
      <protection locked="0"/>
    </xf>
    <xf numFmtId="0" fontId="70" fillId="0" borderId="74" xfId="378" applyFont="1" applyBorder="1" applyAlignment="1">
      <alignment horizontal="left" vertical="center" wrapText="1"/>
    </xf>
    <xf numFmtId="0" fontId="23" fillId="0" borderId="57" xfId="378" applyFont="1" applyBorder="1" applyAlignment="1">
      <alignment horizontal="left" vertical="center"/>
    </xf>
    <xf numFmtId="0" fontId="38" fillId="47" borderId="102" xfId="203" applyFont="1" applyFill="1" applyBorder="1" applyAlignment="1">
      <alignment horizontal="center" vertical="center" wrapText="1"/>
    </xf>
    <xf numFmtId="0" fontId="23" fillId="0" borderId="28" xfId="203" applyBorder="1" applyAlignment="1">
      <alignment horizontal="center" vertical="center" wrapText="1"/>
    </xf>
    <xf numFmtId="0" fontId="23" fillId="0" borderId="27" xfId="203" applyBorder="1" applyAlignment="1">
      <alignment horizontal="center" vertical="center" wrapText="1"/>
    </xf>
    <xf numFmtId="0" fontId="23" fillId="0" borderId="110" xfId="203" applyBorder="1" applyAlignment="1">
      <alignment horizontal="center" vertical="center" wrapText="1"/>
    </xf>
    <xf numFmtId="0" fontId="23" fillId="0" borderId="47" xfId="203" applyBorder="1" applyAlignment="1">
      <alignment horizontal="center" vertical="center" wrapText="1"/>
    </xf>
    <xf numFmtId="0" fontId="23" fillId="0" borderId="27" xfId="203" applyBorder="1" applyAlignment="1">
      <alignment horizontal="center" vertical="center"/>
    </xf>
    <xf numFmtId="0" fontId="23" fillId="0" borderId="110" xfId="203" applyBorder="1" applyAlignment="1">
      <alignment horizontal="center" vertical="center"/>
    </xf>
    <xf numFmtId="0" fontId="23" fillId="0" borderId="47" xfId="203" applyBorder="1" applyAlignment="1">
      <alignment horizontal="center" vertical="center"/>
    </xf>
    <xf numFmtId="0" fontId="23" fillId="0" borderId="75" xfId="203" applyBorder="1" applyAlignment="1">
      <alignment horizontal="center" vertical="center"/>
    </xf>
    <xf numFmtId="0" fontId="23" fillId="0" borderId="112" xfId="203" applyBorder="1" applyAlignment="1">
      <alignment horizontal="center" vertical="center"/>
    </xf>
    <xf numFmtId="0" fontId="23" fillId="0" borderId="48" xfId="203" applyBorder="1" applyAlignment="1">
      <alignment horizontal="center" vertical="center"/>
    </xf>
    <xf numFmtId="0" fontId="23" fillId="25" borderId="118" xfId="378" applyFont="1" applyFill="1" applyBorder="1" applyAlignment="1" applyProtection="1">
      <alignment horizontal="center" vertical="center"/>
      <protection locked="0"/>
    </xf>
    <xf numFmtId="0" fontId="0" fillId="0" borderId="61" xfId="0" applyBorder="1" applyAlignment="1">
      <alignment horizontal="center" vertical="center"/>
    </xf>
    <xf numFmtId="0" fontId="0" fillId="0" borderId="43" xfId="0" applyBorder="1" applyAlignment="1">
      <alignment horizontal="center" vertical="center"/>
    </xf>
    <xf numFmtId="0" fontId="23" fillId="0" borderId="34" xfId="376" applyBorder="1" applyAlignment="1">
      <alignment vertical="center" wrapText="1"/>
    </xf>
    <xf numFmtId="0" fontId="38" fillId="0" borderId="35" xfId="376" applyFont="1" applyBorder="1" applyAlignment="1">
      <alignment vertical="center" wrapText="1"/>
    </xf>
    <xf numFmtId="0" fontId="38" fillId="0" borderId="116" xfId="376" applyFont="1" applyBorder="1" applyAlignment="1">
      <alignment vertical="center" wrapText="1"/>
    </xf>
    <xf numFmtId="0" fontId="38" fillId="0" borderId="115" xfId="376" applyFont="1" applyBorder="1" applyAlignment="1">
      <alignment vertical="center" wrapText="1"/>
    </xf>
    <xf numFmtId="0" fontId="23" fillId="0" borderId="56" xfId="378" applyFont="1" applyBorder="1" applyAlignment="1">
      <alignment horizontal="center" vertical="center" wrapText="1"/>
    </xf>
    <xf numFmtId="0" fontId="23" fillId="0" borderId="137" xfId="378" applyFont="1" applyBorder="1" applyAlignment="1">
      <alignment horizontal="center" vertical="center" wrapText="1"/>
    </xf>
    <xf numFmtId="0" fontId="23" fillId="25" borderId="66" xfId="377" applyFont="1" applyFill="1" applyBorder="1" applyAlignment="1" applyProtection="1">
      <alignment horizontal="center" vertical="center" wrapText="1"/>
      <protection locked="0"/>
    </xf>
    <xf numFmtId="0" fontId="23" fillId="25" borderId="41" xfId="377" applyFont="1" applyFill="1" applyBorder="1" applyAlignment="1" applyProtection="1">
      <alignment horizontal="center" vertical="center" wrapText="1"/>
      <protection locked="0"/>
    </xf>
    <xf numFmtId="0" fontId="23" fillId="0" borderId="56" xfId="376" applyBorder="1" applyAlignment="1">
      <alignment horizontal="center" vertical="center" wrapText="1"/>
    </xf>
    <xf numFmtId="0" fontId="23" fillId="0" borderId="137" xfId="376" applyBorder="1" applyAlignment="1">
      <alignment horizontal="center" vertical="center" wrapText="1"/>
    </xf>
    <xf numFmtId="0" fontId="36" fillId="0" borderId="0" xfId="203" applyFont="1" applyAlignment="1">
      <alignment horizontal="left" vertical="center"/>
    </xf>
    <xf numFmtId="0" fontId="36" fillId="35" borderId="92" xfId="203" applyFont="1" applyFill="1" applyBorder="1" applyAlignment="1">
      <alignment horizontal="center" vertical="center" wrapText="1"/>
    </xf>
    <xf numFmtId="0" fontId="36" fillId="35" borderId="17" xfId="203" applyFont="1" applyFill="1" applyBorder="1" applyAlignment="1">
      <alignment horizontal="center" vertical="center" wrapText="1"/>
    </xf>
    <xf numFmtId="0" fontId="75" fillId="28" borderId="14" xfId="203" applyFont="1" applyFill="1" applyBorder="1" applyAlignment="1">
      <alignment horizontal="left" vertical="center" wrapText="1"/>
    </xf>
    <xf numFmtId="0" fontId="75" fillId="28" borderId="15" xfId="203" applyFont="1" applyFill="1" applyBorder="1" applyAlignment="1">
      <alignment horizontal="left" vertical="center" wrapText="1"/>
    </xf>
    <xf numFmtId="0" fontId="75" fillId="28" borderId="16" xfId="203" applyFont="1" applyFill="1" applyBorder="1" applyAlignment="1">
      <alignment horizontal="left" vertical="center" wrapText="1"/>
    </xf>
    <xf numFmtId="0" fontId="23" fillId="0" borderId="122" xfId="203" applyBorder="1" applyAlignment="1">
      <alignment horizontal="center" vertical="center" wrapText="1"/>
    </xf>
    <xf numFmtId="0" fontId="23" fillId="0" borderId="49" xfId="203" applyBorder="1" applyAlignment="1">
      <alignment horizontal="center" vertical="center" wrapText="1"/>
    </xf>
    <xf numFmtId="0" fontId="23" fillId="0" borderId="42" xfId="203" applyBorder="1" applyAlignment="1">
      <alignment horizontal="center" vertical="center" wrapText="1"/>
    </xf>
    <xf numFmtId="0" fontId="36" fillId="35" borderId="89" xfId="203" applyFont="1" applyFill="1" applyBorder="1" applyAlignment="1">
      <alignment horizontal="center" vertical="center" wrapText="1"/>
    </xf>
    <xf numFmtId="0" fontId="36" fillId="35" borderId="90" xfId="203" applyFont="1" applyFill="1" applyBorder="1" applyAlignment="1">
      <alignment horizontal="center" vertical="center" wrapText="1"/>
    </xf>
    <xf numFmtId="0" fontId="75" fillId="28" borderId="84" xfId="203" applyFont="1" applyFill="1" applyBorder="1" applyAlignment="1">
      <alignment vertical="center" wrapText="1"/>
    </xf>
    <xf numFmtId="0" fontId="75" fillId="28" borderId="49" xfId="203" applyFont="1" applyFill="1" applyBorder="1" applyAlignment="1">
      <alignment vertical="center" wrapText="1"/>
    </xf>
    <xf numFmtId="0" fontId="23" fillId="0" borderId="34" xfId="203" applyBorder="1" applyAlignment="1">
      <alignment horizontal="left" vertical="center" wrapText="1"/>
    </xf>
    <xf numFmtId="0" fontId="23" fillId="0" borderId="35" xfId="203" applyBorder="1" applyAlignment="1">
      <alignment horizontal="left" vertical="center" wrapText="1"/>
    </xf>
    <xf numFmtId="0" fontId="23" fillId="0" borderId="56" xfId="203" applyBorder="1" applyAlignment="1">
      <alignment horizontal="left" vertical="center" wrapText="1"/>
    </xf>
    <xf numFmtId="0" fontId="23" fillId="0" borderId="137" xfId="203" applyBorder="1" applyAlignment="1">
      <alignment horizontal="left" vertical="center" wrapText="1"/>
    </xf>
    <xf numFmtId="0" fontId="23" fillId="0" borderId="98" xfId="203" applyBorder="1" applyAlignment="1">
      <alignment horizontal="left" vertical="center" wrapText="1"/>
    </xf>
    <xf numFmtId="0" fontId="23" fillId="0" borderId="102" xfId="203" applyBorder="1" applyAlignment="1">
      <alignment horizontal="left" vertical="center" wrapText="1"/>
    </xf>
    <xf numFmtId="0" fontId="38" fillId="0" borderId="98" xfId="203" applyFont="1" applyBorder="1" applyAlignment="1">
      <alignment horizontal="left" vertical="center" wrapText="1"/>
    </xf>
    <xf numFmtId="0" fontId="38" fillId="0" borderId="102" xfId="203" applyFont="1" applyBorder="1" applyAlignment="1">
      <alignment horizontal="left" vertical="center" wrapText="1"/>
    </xf>
    <xf numFmtId="0" fontId="36" fillId="0" borderId="34" xfId="376" applyFont="1" applyBorder="1" applyAlignment="1">
      <alignment horizontal="left" vertical="center" wrapText="1"/>
    </xf>
    <xf numFmtId="0" fontId="36" fillId="0" borderId="46" xfId="376" applyFont="1" applyBorder="1" applyAlignment="1">
      <alignment horizontal="left" vertical="center" wrapText="1"/>
    </xf>
    <xf numFmtId="0" fontId="36" fillId="35" borderId="107" xfId="203" applyFont="1" applyFill="1" applyBorder="1" applyAlignment="1">
      <alignment horizontal="center" vertical="center" wrapText="1"/>
    </xf>
    <xf numFmtId="0" fontId="36" fillId="35" borderId="15" xfId="203" applyFont="1" applyFill="1" applyBorder="1" applyAlignment="1">
      <alignment horizontal="center" vertical="center" wrapText="1"/>
    </xf>
    <xf numFmtId="0" fontId="36" fillId="35" borderId="105" xfId="203" applyFont="1" applyFill="1" applyBorder="1" applyAlignment="1">
      <alignment horizontal="center" vertical="center" wrapText="1"/>
    </xf>
    <xf numFmtId="0" fontId="23" fillId="0" borderId="145" xfId="203" applyBorder="1" applyAlignment="1">
      <alignment horizontal="left" vertical="center" wrapText="1"/>
    </xf>
    <xf numFmtId="0" fontId="23" fillId="0" borderId="102" xfId="376" applyBorder="1" applyAlignment="1">
      <alignment horizontal="left" vertical="center" wrapText="1"/>
    </xf>
    <xf numFmtId="0" fontId="23" fillId="0" borderId="134" xfId="203" applyBorder="1" applyAlignment="1">
      <alignment horizontal="left" vertical="center" wrapText="1"/>
    </xf>
    <xf numFmtId="0" fontId="23" fillId="0" borderId="117" xfId="203" applyBorder="1" applyAlignment="1">
      <alignment horizontal="left" vertical="center" wrapText="1"/>
    </xf>
    <xf numFmtId="0" fontId="23" fillId="0" borderId="128" xfId="203" applyBorder="1" applyAlignment="1">
      <alignment horizontal="left" vertical="center" wrapText="1"/>
    </xf>
    <xf numFmtId="0" fontId="73" fillId="0" borderId="91" xfId="203" applyFont="1" applyBorder="1" applyAlignment="1">
      <alignment horizontal="left" vertical="center" wrapText="1"/>
    </xf>
    <xf numFmtId="0" fontId="74" fillId="0" borderId="145" xfId="203" applyFont="1" applyBorder="1" applyAlignment="1">
      <alignment horizontal="left" vertical="center" wrapText="1"/>
    </xf>
    <xf numFmtId="0" fontId="23" fillId="0" borderId="35" xfId="376" applyBorder="1" applyAlignment="1">
      <alignment horizontal="left" vertical="center" wrapText="1"/>
    </xf>
    <xf numFmtId="0" fontId="23" fillId="0" borderId="47" xfId="376" applyBorder="1" applyAlignment="1">
      <alignment horizontal="left" vertical="center" wrapText="1"/>
    </xf>
    <xf numFmtId="0" fontId="36" fillId="0" borderId="50" xfId="203" applyFont="1" applyBorder="1" applyAlignment="1">
      <alignment horizontal="left" vertical="center" wrapText="1"/>
    </xf>
    <xf numFmtId="0" fontId="36" fillId="0" borderId="141" xfId="203" applyFont="1" applyBorder="1" applyAlignment="1">
      <alignment horizontal="left" vertical="center" wrapText="1"/>
    </xf>
    <xf numFmtId="0" fontId="36" fillId="0" borderId="140" xfId="203" applyFont="1" applyBorder="1" applyAlignment="1">
      <alignment horizontal="left" vertical="center" wrapText="1"/>
    </xf>
    <xf numFmtId="0" fontId="74" fillId="0" borderId="35" xfId="203" applyFont="1" applyBorder="1" applyAlignment="1">
      <alignment horizontal="left" vertical="center"/>
    </xf>
    <xf numFmtId="0" fontId="73" fillId="0" borderId="74" xfId="203" applyFont="1" applyBorder="1" applyAlignment="1">
      <alignment horizontal="left" vertical="center" wrapText="1"/>
    </xf>
    <xf numFmtId="0" fontId="73" fillId="0" borderId="62" xfId="203" applyFont="1" applyBorder="1" applyAlignment="1">
      <alignment horizontal="left" vertical="center" wrapText="1"/>
    </xf>
    <xf numFmtId="0" fontId="74" fillId="0" borderId="34" xfId="376" applyFont="1" applyBorder="1" applyAlignment="1">
      <alignment horizontal="left" vertical="center" wrapText="1"/>
    </xf>
    <xf numFmtId="0" fontId="74" fillId="0" borderId="35" xfId="376" applyFont="1" applyBorder="1" applyAlignment="1">
      <alignment horizontal="left" vertical="center" wrapText="1"/>
    </xf>
    <xf numFmtId="0" fontId="74" fillId="0" borderId="116" xfId="376" applyFont="1" applyBorder="1" applyAlignment="1">
      <alignment horizontal="left" vertical="center" wrapText="1"/>
    </xf>
    <xf numFmtId="0" fontId="74" fillId="0" borderId="115" xfId="376" applyFont="1" applyBorder="1" applyAlignment="1">
      <alignment horizontal="left" vertical="center" wrapText="1"/>
    </xf>
    <xf numFmtId="0" fontId="74" fillId="0" borderId="116" xfId="203" applyFont="1" applyBorder="1" applyAlignment="1">
      <alignment horizontal="left" vertical="center" wrapText="1"/>
    </xf>
    <xf numFmtId="0" fontId="74" fillId="0" borderId="115" xfId="203" applyFont="1" applyBorder="1" applyAlignment="1">
      <alignment horizontal="left" vertical="center" wrapText="1"/>
    </xf>
    <xf numFmtId="0" fontId="23" fillId="0" borderId="57" xfId="203" applyBorder="1" applyAlignment="1">
      <alignment horizontal="left" vertical="center" wrapText="1"/>
    </xf>
    <xf numFmtId="0" fontId="23" fillId="0" borderId="147" xfId="203" applyBorder="1" applyAlignment="1">
      <alignment horizontal="left" vertical="center" wrapText="1"/>
    </xf>
    <xf numFmtId="0" fontId="36" fillId="0" borderId="89" xfId="203" applyFont="1" applyBorder="1" applyAlignment="1">
      <alignment horizontal="left" vertical="center" wrapText="1"/>
    </xf>
    <xf numFmtId="0" fontId="36" fillId="0" borderId="80" xfId="203" applyFont="1" applyBorder="1" applyAlignment="1">
      <alignment horizontal="left" vertical="center" wrapText="1"/>
    </xf>
    <xf numFmtId="0" fontId="36" fillId="0" borderId="146" xfId="203" applyFont="1" applyBorder="1" applyAlignment="1">
      <alignment horizontal="left" vertical="center" wrapText="1"/>
    </xf>
    <xf numFmtId="0" fontId="70" fillId="0" borderId="80" xfId="0" applyFont="1" applyBorder="1" applyAlignment="1">
      <alignment horizontal="left" vertical="center" wrapText="1"/>
    </xf>
    <xf numFmtId="0" fontId="70" fillId="0" borderId="86" xfId="0" applyFont="1" applyBorder="1" applyAlignment="1">
      <alignment horizontal="left" vertical="center" wrapText="1"/>
    </xf>
    <xf numFmtId="0" fontId="74" fillId="0" borderId="14" xfId="203" applyFont="1" applyBorder="1" applyAlignment="1">
      <alignment horizontal="left" vertical="center" wrapText="1"/>
    </xf>
    <xf numFmtId="0" fontId="74" fillId="0" borderId="15" xfId="203" applyFont="1" applyBorder="1" applyAlignment="1">
      <alignment horizontal="left" vertical="center" wrapText="1"/>
    </xf>
    <xf numFmtId="0" fontId="74" fillId="0" borderId="105" xfId="203" applyFont="1" applyBorder="1" applyAlignment="1">
      <alignment horizontal="left" vertical="center" wrapText="1"/>
    </xf>
    <xf numFmtId="0" fontId="73" fillId="0" borderId="50" xfId="203" applyFont="1" applyBorder="1" applyAlignment="1">
      <alignment horizontal="left" vertical="center" wrapText="1"/>
    </xf>
    <xf numFmtId="0" fontId="73" fillId="0" borderId="51" xfId="203" applyFont="1" applyBorder="1" applyAlignment="1">
      <alignment horizontal="left" vertical="center" wrapText="1"/>
    </xf>
    <xf numFmtId="0" fontId="73" fillId="0" borderId="53" xfId="203" applyFont="1" applyBorder="1" applyAlignment="1">
      <alignment horizontal="left" vertical="center" wrapText="1"/>
    </xf>
    <xf numFmtId="0" fontId="23" fillId="0" borderId="92" xfId="203" applyBorder="1" applyAlignment="1">
      <alignment horizontal="center" vertical="center" wrapText="1"/>
    </xf>
    <xf numFmtId="0" fontId="23" fillId="0" borderId="90" xfId="203" applyBorder="1" applyAlignment="1">
      <alignment horizontal="center" vertical="center" wrapText="1"/>
    </xf>
    <xf numFmtId="0" fontId="23" fillId="0" borderId="155" xfId="203" applyBorder="1" applyAlignment="1">
      <alignment horizontal="center" vertical="center" wrapText="1"/>
    </xf>
    <xf numFmtId="0" fontId="23" fillId="0" borderId="152" xfId="203" applyBorder="1" applyAlignment="1">
      <alignment horizontal="center" vertical="center" wrapText="1"/>
    </xf>
    <xf numFmtId="0" fontId="36" fillId="0" borderId="50" xfId="376" applyFont="1" applyBorder="1" applyAlignment="1">
      <alignment horizontal="left" vertical="center" wrapText="1"/>
    </xf>
    <xf numFmtId="0" fontId="36" fillId="0" borderId="140" xfId="376" applyFont="1" applyBorder="1" applyAlignment="1">
      <alignment horizontal="left" vertical="center" wrapText="1"/>
    </xf>
    <xf numFmtId="0" fontId="23" fillId="0" borderId="131" xfId="203" applyBorder="1" applyAlignment="1">
      <alignment horizontal="left" vertical="center" wrapText="1"/>
    </xf>
    <xf numFmtId="0" fontId="36" fillId="0" borderId="91" xfId="203" applyFont="1" applyBorder="1" applyAlignment="1">
      <alignment horizontal="left" vertical="center" wrapText="1"/>
    </xf>
    <xf numFmtId="0" fontId="36" fillId="0" borderId="74" xfId="203" applyFont="1" applyBorder="1" applyAlignment="1">
      <alignment horizontal="left" vertical="center" wrapText="1"/>
    </xf>
    <xf numFmtId="0" fontId="36" fillId="0" borderId="57" xfId="203" applyFont="1" applyBorder="1" applyAlignment="1">
      <alignment horizontal="left" vertical="center" wrapText="1"/>
    </xf>
    <xf numFmtId="0" fontId="23" fillId="0" borderId="52" xfId="203" applyBorder="1" applyAlignment="1">
      <alignment horizontal="left" vertical="center" wrapText="1"/>
    </xf>
    <xf numFmtId="0" fontId="23" fillId="25" borderId="66" xfId="378" applyFont="1" applyFill="1" applyBorder="1" applyAlignment="1" applyProtection="1">
      <alignment horizontal="center" vertical="center"/>
      <protection locked="0"/>
    </xf>
    <xf numFmtId="0" fontId="0" fillId="0" borderId="41" xfId="0" applyBorder="1" applyAlignment="1">
      <alignment horizontal="center" vertical="center"/>
    </xf>
    <xf numFmtId="0" fontId="35" fillId="0" borderId="74" xfId="378" applyFont="1" applyBorder="1" applyAlignment="1">
      <alignment horizontal="left" vertical="center" wrapText="1"/>
    </xf>
    <xf numFmtId="0" fontId="35" fillId="0" borderId="57" xfId="378" applyFont="1" applyBorder="1" applyAlignment="1">
      <alignment horizontal="left" vertical="center" wrapText="1"/>
    </xf>
    <xf numFmtId="0" fontId="65" fillId="0" borderId="62" xfId="203" applyFont="1" applyBorder="1" applyAlignment="1">
      <alignment vertical="center" wrapText="1"/>
    </xf>
    <xf numFmtId="0" fontId="65" fillId="0" borderId="62" xfId="378" applyFont="1" applyBorder="1" applyAlignment="1">
      <alignment vertical="center" wrapText="1"/>
    </xf>
    <xf numFmtId="0" fontId="65" fillId="0" borderId="100" xfId="378" applyFont="1" applyBorder="1" applyAlignment="1">
      <alignment vertical="center" wrapText="1"/>
    </xf>
    <xf numFmtId="1" fontId="23" fillId="36" borderId="66" xfId="378" applyNumberFormat="1" applyFont="1" applyFill="1" applyBorder="1" applyAlignment="1">
      <alignment horizontal="center" vertical="center"/>
    </xf>
    <xf numFmtId="1" fontId="23" fillId="36" borderId="61" xfId="378" applyNumberFormat="1" applyFont="1" applyFill="1" applyBorder="1" applyAlignment="1">
      <alignment horizontal="center" vertical="center"/>
    </xf>
    <xf numFmtId="1" fontId="23" fillId="36" borderId="41" xfId="378" applyNumberFormat="1" applyFont="1" applyFill="1" applyBorder="1" applyAlignment="1">
      <alignment horizontal="center" vertical="center"/>
    </xf>
    <xf numFmtId="0" fontId="23" fillId="0" borderId="125" xfId="203" applyBorder="1" applyAlignment="1" applyProtection="1">
      <alignment horizontal="center" vertical="center" wrapText="1"/>
      <protection locked="0"/>
    </xf>
    <xf numFmtId="0" fontId="23" fillId="0" borderId="62" xfId="203" applyBorder="1" applyAlignment="1" applyProtection="1">
      <alignment horizontal="center" vertical="center" wrapText="1"/>
      <protection locked="0"/>
    </xf>
    <xf numFmtId="0" fontId="23" fillId="0" borderId="27" xfId="203" applyBorder="1" applyAlignment="1" applyProtection="1">
      <alignment horizontal="center" vertical="center" wrapText="1"/>
      <protection locked="0"/>
    </xf>
    <xf numFmtId="0" fontId="23" fillId="0" borderId="155" xfId="203" applyBorder="1" applyAlignment="1">
      <alignment horizontal="left" vertical="center" wrapText="1"/>
    </xf>
    <xf numFmtId="0" fontId="23" fillId="0" borderId="154" xfId="203" applyBorder="1" applyAlignment="1">
      <alignment horizontal="left" vertical="center" wrapText="1"/>
    </xf>
    <xf numFmtId="0" fontId="23" fillId="0" borderId="44" xfId="203" applyBorder="1" applyAlignment="1" applyProtection="1">
      <alignment horizontal="center" vertical="center" wrapText="1"/>
      <protection locked="0"/>
    </xf>
    <xf numFmtId="0" fontId="23" fillId="0" borderId="0" xfId="203" applyAlignment="1" applyProtection="1">
      <alignment horizontal="center" vertical="center" wrapText="1"/>
      <protection locked="0"/>
    </xf>
    <xf numFmtId="0" fontId="23" fillId="0" borderId="110" xfId="203" applyBorder="1" applyAlignment="1">
      <alignment horizontal="left" vertical="center" wrapText="1"/>
    </xf>
    <xf numFmtId="0" fontId="23" fillId="0" borderId="126" xfId="203" applyBorder="1" applyAlignment="1">
      <alignment horizontal="left" vertical="center" wrapText="1"/>
    </xf>
    <xf numFmtId="0" fontId="23" fillId="0" borderId="127" xfId="203" applyBorder="1" applyAlignment="1">
      <alignment horizontal="left" vertical="center" wrapText="1"/>
    </xf>
    <xf numFmtId="0" fontId="23" fillId="0" borderId="93" xfId="203" applyBorder="1" applyAlignment="1">
      <alignment horizontal="left" vertical="center" wrapText="1"/>
    </xf>
    <xf numFmtId="0" fontId="23" fillId="0" borderId="28" xfId="203" applyBorder="1" applyAlignment="1">
      <alignment horizontal="left" vertical="center" wrapText="1"/>
    </xf>
    <xf numFmtId="0" fontId="23" fillId="0" borderId="75" xfId="203" applyBorder="1" applyAlignment="1">
      <alignment horizontal="center" vertical="center" wrapText="1"/>
    </xf>
    <xf numFmtId="0" fontId="23" fillId="0" borderId="107" xfId="203" applyBorder="1" applyAlignment="1">
      <alignment horizontal="left" vertical="center" wrapText="1"/>
    </xf>
    <xf numFmtId="0" fontId="23" fillId="0" borderId="105" xfId="203" applyBorder="1" applyAlignment="1">
      <alignment horizontal="left" vertical="center" wrapText="1"/>
    </xf>
    <xf numFmtId="0" fontId="23" fillId="25" borderId="37" xfId="378" applyFont="1" applyFill="1" applyBorder="1" applyAlignment="1" applyProtection="1">
      <alignment horizontal="center" vertical="center"/>
      <protection locked="0"/>
    </xf>
    <xf numFmtId="0" fontId="23" fillId="25" borderId="55" xfId="378" applyFont="1" applyFill="1" applyBorder="1" applyAlignment="1" applyProtection="1">
      <alignment horizontal="center" vertical="center"/>
      <protection locked="0"/>
    </xf>
    <xf numFmtId="0" fontId="23" fillId="0" borderId="110" xfId="203" applyBorder="1" applyAlignment="1" applyProtection="1">
      <alignment horizontal="center" vertical="center" wrapText="1"/>
      <protection locked="0"/>
    </xf>
    <xf numFmtId="0" fontId="36" fillId="35" borderId="14" xfId="203" applyFont="1" applyFill="1" applyBorder="1" applyAlignment="1">
      <alignment horizontal="left" vertical="center" wrapText="1"/>
    </xf>
    <xf numFmtId="0" fontId="36" fillId="35" borderId="105" xfId="203" applyFont="1" applyFill="1" applyBorder="1" applyAlignment="1">
      <alignment horizontal="left" vertical="center" wrapText="1"/>
    </xf>
    <xf numFmtId="0" fontId="23" fillId="0" borderId="153" xfId="378" applyFont="1" applyBorder="1" applyAlignment="1">
      <alignment horizontal="left" vertical="center" wrapText="1"/>
    </xf>
    <xf numFmtId="0" fontId="23" fillId="0" borderId="26" xfId="378" applyFont="1" applyBorder="1" applyAlignment="1">
      <alignment horizontal="left" vertical="center"/>
    </xf>
    <xf numFmtId="0" fontId="23" fillId="0" borderId="154" xfId="378" applyFont="1" applyBorder="1" applyAlignment="1">
      <alignment horizontal="left" vertical="center"/>
    </xf>
    <xf numFmtId="0" fontId="36" fillId="35" borderId="15" xfId="203" applyFont="1" applyFill="1" applyBorder="1" applyAlignment="1">
      <alignment horizontal="left" vertical="center" wrapText="1"/>
    </xf>
    <xf numFmtId="0" fontId="36" fillId="43" borderId="74" xfId="203" applyFont="1" applyFill="1" applyBorder="1" applyAlignment="1">
      <alignment horizontal="left" vertical="center" wrapText="1"/>
    </xf>
    <xf numFmtId="0" fontId="23" fillId="0" borderId="27" xfId="203" applyBorder="1" applyAlignment="1">
      <alignment horizontal="left" vertical="center" wrapText="1"/>
    </xf>
    <xf numFmtId="0" fontId="23" fillId="25" borderId="132" xfId="378" applyFont="1" applyFill="1" applyBorder="1" applyAlignment="1" applyProtection="1">
      <alignment horizontal="center" vertical="center"/>
      <protection locked="0"/>
    </xf>
    <xf numFmtId="1" fontId="36" fillId="28" borderId="14" xfId="60" applyNumberFormat="1" applyFont="1" applyFill="1" applyBorder="1" applyAlignment="1">
      <alignment horizontal="center" vertical="center"/>
    </xf>
    <xf numFmtId="1" fontId="36" fillId="28" borderId="16" xfId="60" applyNumberFormat="1" applyFont="1" applyFill="1" applyBorder="1" applyAlignment="1">
      <alignment horizontal="center" vertical="center"/>
    </xf>
    <xf numFmtId="0" fontId="54" fillId="28" borderId="93" xfId="288" applyFont="1" applyFill="1" applyBorder="1" applyAlignment="1">
      <alignment horizontal="center" vertical="center"/>
    </xf>
    <xf numFmtId="0" fontId="54" fillId="28" borderId="59" xfId="288" applyFont="1" applyFill="1" applyBorder="1" applyAlignment="1">
      <alignment horizontal="center" vertical="center"/>
    </xf>
    <xf numFmtId="0" fontId="54" fillId="28" borderId="28" xfId="288" applyFont="1" applyFill="1" applyBorder="1" applyAlignment="1">
      <alignment horizontal="center" vertical="center"/>
    </xf>
    <xf numFmtId="0" fontId="38" fillId="25" borderId="67" xfId="0" applyFont="1" applyFill="1" applyBorder="1" applyAlignment="1" applyProtection="1">
      <alignment horizontal="center" vertical="center"/>
      <protection locked="0"/>
    </xf>
    <xf numFmtId="0" fontId="38" fillId="25" borderId="81" xfId="0" applyFont="1" applyFill="1" applyBorder="1" applyAlignment="1" applyProtection="1">
      <alignment horizontal="center" vertical="center"/>
      <protection locked="0"/>
    </xf>
    <xf numFmtId="0" fontId="38" fillId="25" borderId="29" xfId="0" applyFont="1" applyFill="1" applyBorder="1" applyAlignment="1" applyProtection="1">
      <alignment horizontal="center" vertical="center"/>
      <protection locked="0"/>
    </xf>
    <xf numFmtId="1" fontId="53" fillId="28" borderId="14" xfId="0" applyNumberFormat="1" applyFont="1" applyFill="1" applyBorder="1" applyAlignment="1">
      <alignment horizontal="center" vertical="center"/>
    </xf>
    <xf numFmtId="1" fontId="53" fillId="28" borderId="16" xfId="0" applyNumberFormat="1" applyFont="1" applyFill="1" applyBorder="1" applyAlignment="1">
      <alignment horizontal="center" vertical="center"/>
    </xf>
    <xf numFmtId="0" fontId="54" fillId="35" borderId="14" xfId="0" applyFont="1" applyFill="1" applyBorder="1" applyAlignment="1">
      <alignment horizontal="center" vertical="center" wrapText="1"/>
    </xf>
    <xf numFmtId="0" fontId="54" fillId="35" borderId="16" xfId="0" applyFont="1" applyFill="1" applyBorder="1" applyAlignment="1">
      <alignment horizontal="center" vertical="center" wrapText="1"/>
    </xf>
    <xf numFmtId="1" fontId="70" fillId="28" borderId="93" xfId="288" applyNumberFormat="1" applyFont="1" applyFill="1" applyBorder="1" applyAlignment="1">
      <alignment horizontal="center" vertical="center"/>
    </xf>
    <xf numFmtId="1" fontId="70" fillId="28" borderId="28" xfId="288" applyNumberFormat="1" applyFont="1" applyFill="1" applyBorder="1" applyAlignment="1">
      <alignment horizontal="center" vertical="center"/>
    </xf>
    <xf numFmtId="1" fontId="70" fillId="28" borderId="128" xfId="288" applyNumberFormat="1" applyFont="1" applyFill="1" applyBorder="1" applyAlignment="1">
      <alignment horizontal="center" vertical="center"/>
    </xf>
    <xf numFmtId="1" fontId="70" fillId="28" borderId="120" xfId="288" applyNumberFormat="1" applyFont="1" applyFill="1" applyBorder="1" applyAlignment="1">
      <alignment horizontal="center" vertical="center"/>
    </xf>
    <xf numFmtId="0" fontId="70" fillId="0" borderId="128" xfId="0" applyFont="1" applyBorder="1" applyAlignment="1">
      <alignment horizontal="center" vertical="center"/>
    </xf>
    <xf numFmtId="0" fontId="70" fillId="0" borderId="120" xfId="0" applyFont="1" applyBorder="1" applyAlignment="1">
      <alignment horizontal="center" vertical="center"/>
    </xf>
    <xf numFmtId="0" fontId="36" fillId="0" borderId="0" xfId="348" applyFont="1" applyAlignment="1">
      <alignment horizontal="left" vertical="center"/>
    </xf>
    <xf numFmtId="0" fontId="75" fillId="28" borderId="14" xfId="348" applyFont="1" applyFill="1" applyBorder="1" applyAlignment="1">
      <alignment vertical="center" wrapText="1"/>
    </xf>
    <xf numFmtId="0" fontId="75" fillId="28" borderId="15" xfId="348" applyFont="1" applyFill="1" applyBorder="1" applyAlignment="1">
      <alignment vertical="center" wrapText="1"/>
    </xf>
    <xf numFmtId="0" fontId="74" fillId="0" borderId="0" xfId="348" applyFont="1" applyAlignment="1">
      <alignment horizontal="left" vertical="top" wrapText="1"/>
    </xf>
    <xf numFmtId="0" fontId="23" fillId="0" borderId="0" xfId="348" applyFont="1" applyAlignment="1">
      <alignment vertical="center" wrapText="1"/>
    </xf>
    <xf numFmtId="0" fontId="23" fillId="0" borderId="0" xfId="203" applyAlignment="1">
      <alignment vertical="center"/>
    </xf>
    <xf numFmtId="0" fontId="38" fillId="0" borderId="35" xfId="365" applyFont="1" applyBorder="1" applyAlignment="1">
      <alignment vertical="center" wrapText="1"/>
    </xf>
    <xf numFmtId="0" fontId="38" fillId="0" borderId="115" xfId="365" applyFont="1" applyBorder="1" applyAlignment="1">
      <alignment vertical="center" wrapText="1"/>
    </xf>
    <xf numFmtId="0" fontId="23" fillId="25" borderId="66" xfId="203" applyFill="1" applyBorder="1" applyAlignment="1" applyProtection="1">
      <alignment horizontal="center" vertical="center" wrapText="1"/>
      <protection locked="0"/>
    </xf>
    <xf numFmtId="0" fontId="70" fillId="0" borderId="41" xfId="365" applyBorder="1" applyAlignment="1">
      <alignment horizontal="center" vertical="center" wrapText="1"/>
    </xf>
    <xf numFmtId="0" fontId="23" fillId="0" borderId="0" xfId="203" applyAlignment="1">
      <alignment horizontal="center" vertical="center" wrapText="1"/>
    </xf>
    <xf numFmtId="0" fontId="38" fillId="0" borderId="117" xfId="365" applyFont="1" applyBorder="1" applyAlignment="1">
      <alignment vertical="center" wrapText="1"/>
    </xf>
    <xf numFmtId="0" fontId="23" fillId="25" borderId="61" xfId="203" applyFill="1" applyBorder="1" applyAlignment="1" applyProtection="1">
      <alignment horizontal="center" vertical="center" wrapText="1"/>
      <protection locked="0"/>
    </xf>
    <xf numFmtId="0" fontId="70" fillId="0" borderId="0" xfId="365" applyAlignment="1">
      <alignment horizontal="center" vertical="center"/>
    </xf>
    <xf numFmtId="0" fontId="70" fillId="0" borderId="26" xfId="365" applyBorder="1" applyAlignment="1">
      <alignment horizontal="center" vertical="center"/>
    </xf>
    <xf numFmtId="0" fontId="75" fillId="28" borderId="69" xfId="203" applyFont="1" applyFill="1" applyBorder="1" applyAlignment="1">
      <alignment vertical="center" wrapText="1"/>
    </xf>
    <xf numFmtId="0" fontId="75" fillId="28" borderId="76" xfId="203" applyFont="1" applyFill="1" applyBorder="1" applyAlignment="1">
      <alignment vertical="center" wrapText="1"/>
    </xf>
    <xf numFmtId="0" fontId="74" fillId="0" borderId="0" xfId="203" applyFont="1" applyAlignment="1">
      <alignment horizontal="left" vertical="top" wrapText="1"/>
    </xf>
    <xf numFmtId="0" fontId="38" fillId="0" borderId="50" xfId="203" applyFont="1" applyBorder="1" applyAlignment="1">
      <alignment vertical="center" wrapText="1"/>
    </xf>
    <xf numFmtId="0" fontId="23" fillId="0" borderId="53" xfId="203" applyBorder="1" applyAlignment="1">
      <alignment vertical="center"/>
    </xf>
    <xf numFmtId="0" fontId="80" fillId="35" borderId="14" xfId="354" applyFont="1" applyFill="1" applyBorder="1" applyAlignment="1" applyProtection="1">
      <alignment horizontal="left" vertical="center"/>
    </xf>
    <xf numFmtId="0" fontId="80" fillId="35" borderId="15" xfId="354" applyFont="1" applyFill="1" applyBorder="1" applyAlignment="1" applyProtection="1">
      <alignment horizontal="left" vertical="center"/>
    </xf>
    <xf numFmtId="0" fontId="80" fillId="35" borderId="16" xfId="354" applyFont="1" applyFill="1" applyBorder="1" applyAlignment="1" applyProtection="1">
      <alignment horizontal="left" vertical="center"/>
    </xf>
    <xf numFmtId="0" fontId="80" fillId="35" borderId="56" xfId="354" applyFont="1" applyFill="1" applyBorder="1" applyAlignment="1" applyProtection="1">
      <alignment horizontal="center" vertical="center"/>
    </xf>
    <xf numFmtId="0" fontId="80" fillId="35" borderId="51" xfId="354" applyFont="1" applyFill="1" applyBorder="1" applyAlignment="1" applyProtection="1">
      <alignment horizontal="center" vertical="center"/>
    </xf>
    <xf numFmtId="0" fontId="80" fillId="35" borderId="53" xfId="354" applyFont="1" applyFill="1" applyBorder="1" applyAlignment="1" applyProtection="1">
      <alignment horizontal="center" vertical="center"/>
    </xf>
    <xf numFmtId="0" fontId="59" fillId="0" borderId="14" xfId="388" applyFont="1" applyBorder="1" applyAlignment="1">
      <alignment horizontal="center" vertical="center"/>
    </xf>
    <xf numFmtId="0" fontId="54" fillId="0" borderId="15" xfId="388" applyFont="1" applyBorder="1" applyAlignment="1">
      <alignment horizontal="center" vertical="center"/>
    </xf>
    <xf numFmtId="0" fontId="54" fillId="0" borderId="16" xfId="388" applyFont="1" applyBorder="1" applyAlignment="1">
      <alignment horizontal="center" vertical="center"/>
    </xf>
    <xf numFmtId="0" fontId="59" fillId="0" borderId="15" xfId="388" applyFont="1" applyBorder="1" applyAlignment="1">
      <alignment horizontal="center" vertical="center"/>
    </xf>
    <xf numFmtId="0" fontId="59" fillId="0" borderId="16" xfId="388" applyFont="1" applyBorder="1" applyAlignment="1">
      <alignment horizontal="center" vertical="center"/>
    </xf>
    <xf numFmtId="0" fontId="59" fillId="35" borderId="14" xfId="388" applyFont="1" applyFill="1" applyBorder="1" applyAlignment="1">
      <alignment horizontal="left" vertical="center"/>
    </xf>
    <xf numFmtId="0" fontId="59" fillId="35" borderId="15" xfId="388" applyFont="1" applyFill="1" applyBorder="1" applyAlignment="1">
      <alignment horizontal="left" vertical="center"/>
    </xf>
    <xf numFmtId="0" fontId="59" fillId="35" borderId="16" xfId="388" applyFont="1" applyFill="1" applyBorder="1" applyAlignment="1">
      <alignment horizontal="left" vertical="center"/>
    </xf>
    <xf numFmtId="0" fontId="59" fillId="0" borderId="50" xfId="388" applyFont="1" applyBorder="1" applyAlignment="1">
      <alignment horizontal="center" vertical="center"/>
    </xf>
    <xf numFmtId="0" fontId="59" fillId="0" borderId="51" xfId="388" applyFont="1" applyBorder="1" applyAlignment="1">
      <alignment horizontal="center" vertical="center"/>
    </xf>
    <xf numFmtId="0" fontId="59" fillId="0" borderId="53" xfId="388" applyFont="1" applyBorder="1" applyAlignment="1">
      <alignment horizontal="center" vertical="center"/>
    </xf>
    <xf numFmtId="0" fontId="59" fillId="35" borderId="14" xfId="6" applyFont="1" applyFill="1" applyBorder="1" applyAlignment="1">
      <alignment horizontal="center" vertical="center"/>
    </xf>
    <xf numFmtId="0" fontId="0" fillId="0" borderId="16" xfId="0" applyBorder="1" applyAlignment="1">
      <alignment vertical="center"/>
    </xf>
    <xf numFmtId="1" fontId="53" fillId="28" borderId="89" xfId="350" applyNumberFormat="1" applyFont="1" applyFill="1" applyBorder="1" applyAlignment="1">
      <alignment horizontal="center" vertical="center"/>
    </xf>
    <xf numFmtId="0" fontId="0" fillId="0" borderId="90" xfId="0" applyBorder="1" applyAlignment="1">
      <alignment vertical="center"/>
    </xf>
    <xf numFmtId="1" fontId="53" fillId="28" borderId="14" xfId="350" applyNumberFormat="1" applyFont="1" applyFill="1" applyBorder="1" applyAlignment="1">
      <alignment horizontal="center" vertical="center"/>
    </xf>
    <xf numFmtId="0" fontId="59" fillId="0" borderId="14" xfId="349" applyFont="1" applyBorder="1" applyAlignment="1">
      <alignment horizontal="center" vertical="center"/>
    </xf>
    <xf numFmtId="0" fontId="59" fillId="0" borderId="15" xfId="349" applyFont="1" applyBorder="1" applyAlignment="1">
      <alignment horizontal="center" vertical="center"/>
    </xf>
    <xf numFmtId="0" fontId="59" fillId="0" borderId="16" xfId="349" applyFont="1" applyBorder="1" applyAlignment="1">
      <alignment horizontal="center" vertical="center"/>
    </xf>
    <xf numFmtId="0" fontId="54" fillId="0" borderId="15" xfId="349" applyFont="1" applyBorder="1" applyAlignment="1">
      <alignment horizontal="center" vertical="center"/>
    </xf>
    <xf numFmtId="0" fontId="54" fillId="0" borderId="16" xfId="349" applyFont="1" applyBorder="1" applyAlignment="1">
      <alignment horizontal="center" vertical="center"/>
    </xf>
    <xf numFmtId="0" fontId="59" fillId="0" borderId="50" xfId="349" applyFont="1" applyBorder="1" applyAlignment="1">
      <alignment horizontal="center" vertical="center"/>
    </xf>
    <xf numFmtId="0" fontId="59" fillId="0" borderId="51" xfId="349" applyFont="1" applyBorder="1" applyAlignment="1">
      <alignment horizontal="center" vertical="center"/>
    </xf>
    <xf numFmtId="0" fontId="59" fillId="0" borderId="53" xfId="349" applyFont="1" applyBorder="1" applyAlignment="1">
      <alignment horizontal="center" vertical="center"/>
    </xf>
    <xf numFmtId="0" fontId="63" fillId="35" borderId="50" xfId="6" applyFont="1" applyFill="1" applyBorder="1" applyAlignment="1">
      <alignment horizontal="center" vertical="center"/>
    </xf>
    <xf numFmtId="0" fontId="63" fillId="35" borderId="51" xfId="6" applyFont="1" applyFill="1" applyBorder="1" applyAlignment="1">
      <alignment horizontal="center" vertical="center"/>
    </xf>
    <xf numFmtId="0" fontId="63" fillId="35" borderId="53" xfId="6" applyFont="1" applyFill="1" applyBorder="1" applyAlignment="1">
      <alignment horizontal="center" vertical="center"/>
    </xf>
    <xf numFmtId="0" fontId="64" fillId="36" borderId="89" xfId="356" applyFont="1" applyFill="1" applyBorder="1" applyAlignment="1">
      <alignment horizontal="center" vertical="center"/>
    </xf>
    <xf numFmtId="0" fontId="64" fillId="36" borderId="17" xfId="356" applyFont="1" applyFill="1" applyBorder="1" applyAlignment="1">
      <alignment horizontal="center" vertical="center"/>
    </xf>
    <xf numFmtId="0" fontId="59" fillId="36" borderId="17" xfId="356" applyFont="1" applyFill="1" applyBorder="1" applyAlignment="1">
      <alignment horizontal="center" vertical="center"/>
    </xf>
    <xf numFmtId="0" fontId="59" fillId="36" borderId="90" xfId="356" applyFont="1" applyFill="1" applyBorder="1" applyAlignment="1">
      <alignment horizontal="center" vertical="center"/>
    </xf>
    <xf numFmtId="0" fontId="59" fillId="36" borderId="84" xfId="356" applyFont="1" applyFill="1" applyBorder="1" applyAlignment="1">
      <alignment horizontal="center" vertical="center"/>
    </xf>
    <xf numFmtId="0" fontId="59" fillId="36" borderId="49" xfId="356" applyFont="1" applyFill="1" applyBorder="1" applyAlignment="1">
      <alignment horizontal="center" vertical="center"/>
    </xf>
    <xf numFmtId="0" fontId="59" fillId="36" borderId="42" xfId="356" applyFont="1" applyFill="1" applyBorder="1" applyAlignment="1">
      <alignment horizontal="center" vertical="center"/>
    </xf>
    <xf numFmtId="0" fontId="64" fillId="37" borderId="89" xfId="356" applyFont="1" applyFill="1" applyBorder="1" applyAlignment="1">
      <alignment horizontal="center" vertical="center"/>
    </xf>
    <xf numFmtId="0" fontId="64" fillId="37" borderId="17" xfId="356" applyFont="1" applyFill="1" applyBorder="1" applyAlignment="1">
      <alignment horizontal="center" vertical="center"/>
    </xf>
    <xf numFmtId="0" fontId="64" fillId="37" borderId="90" xfId="356" applyFont="1" applyFill="1" applyBorder="1" applyAlignment="1">
      <alignment horizontal="center" vertical="center"/>
    </xf>
    <xf numFmtId="0" fontId="64" fillId="37" borderId="84" xfId="356" applyFont="1" applyFill="1" applyBorder="1" applyAlignment="1">
      <alignment horizontal="center" vertical="center"/>
    </xf>
    <xf numFmtId="0" fontId="64" fillId="37" borderId="49" xfId="356" applyFont="1" applyFill="1" applyBorder="1" applyAlignment="1">
      <alignment horizontal="center" vertical="center"/>
    </xf>
    <xf numFmtId="0" fontId="64" fillId="37" borderId="42" xfId="356" applyFont="1" applyFill="1" applyBorder="1" applyAlignment="1">
      <alignment horizontal="center" vertical="center"/>
    </xf>
    <xf numFmtId="0" fontId="54" fillId="36" borderId="13" xfId="357" applyFont="1" applyFill="1" applyBorder="1" applyAlignment="1">
      <alignment horizontal="center"/>
    </xf>
    <xf numFmtId="0" fontId="54" fillId="45" borderId="13" xfId="357" applyFont="1" applyFill="1" applyBorder="1" applyAlignment="1">
      <alignment horizontal="center"/>
    </xf>
    <xf numFmtId="0" fontId="54" fillId="37" borderId="13" xfId="357" applyFont="1" applyFill="1" applyBorder="1" applyAlignment="1">
      <alignment horizontal="center"/>
    </xf>
    <xf numFmtId="0" fontId="59" fillId="40" borderId="0" xfId="209" applyFont="1" applyFill="1" applyAlignment="1">
      <alignment horizontal="center"/>
    </xf>
    <xf numFmtId="0" fontId="64" fillId="40" borderId="89" xfId="208" applyFont="1" applyFill="1" applyBorder="1" applyAlignment="1">
      <alignment horizontal="center" vertical="center"/>
    </xf>
    <xf numFmtId="0" fontId="64" fillId="40" borderId="17" xfId="208" applyFont="1" applyFill="1" applyBorder="1" applyAlignment="1">
      <alignment horizontal="center" vertical="center"/>
    </xf>
    <xf numFmtId="0" fontId="64" fillId="40" borderId="90" xfId="208" applyFont="1" applyFill="1" applyBorder="1" applyAlignment="1">
      <alignment horizontal="center" vertical="center"/>
    </xf>
    <xf numFmtId="0" fontId="64" fillId="40" borderId="84" xfId="208" applyFont="1" applyFill="1" applyBorder="1" applyAlignment="1">
      <alignment horizontal="center" vertical="center"/>
    </xf>
    <xf numFmtId="0" fontId="64" fillId="40" borderId="49" xfId="208" applyFont="1" applyFill="1" applyBorder="1" applyAlignment="1">
      <alignment horizontal="center" vertical="center"/>
    </xf>
    <xf numFmtId="0" fontId="64" fillId="40" borderId="42" xfId="208" applyFont="1" applyFill="1" applyBorder="1" applyAlignment="1">
      <alignment horizontal="center" vertical="center"/>
    </xf>
    <xf numFmtId="0" fontId="59" fillId="28" borderId="0" xfId="208" applyFont="1" applyFill="1" applyAlignment="1">
      <alignment horizontal="center"/>
    </xf>
    <xf numFmtId="0" fontId="41" fillId="28" borderId="0" xfId="208" applyFont="1" applyFill="1" applyAlignment="1">
      <alignment horizontal="center"/>
    </xf>
    <xf numFmtId="0" fontId="64" fillId="28" borderId="89" xfId="208" applyFont="1" applyFill="1" applyBorder="1" applyAlignment="1">
      <alignment horizontal="center" vertical="center"/>
    </xf>
    <xf numFmtId="0" fontId="64" fillId="28" borderId="17" xfId="208" applyFont="1" applyFill="1" applyBorder="1" applyAlignment="1">
      <alignment horizontal="center" vertical="center"/>
    </xf>
    <xf numFmtId="0" fontId="64" fillId="28" borderId="90" xfId="208" applyFont="1" applyFill="1" applyBorder="1" applyAlignment="1">
      <alignment horizontal="center" vertical="center"/>
    </xf>
    <xf numFmtId="0" fontId="64" fillId="28" borderId="84" xfId="208" applyFont="1" applyFill="1" applyBorder="1" applyAlignment="1">
      <alignment horizontal="center" vertical="center"/>
    </xf>
    <xf numFmtId="0" fontId="64" fillId="28" borderId="49" xfId="208" applyFont="1" applyFill="1" applyBorder="1" applyAlignment="1">
      <alignment horizontal="center" vertical="center"/>
    </xf>
    <xf numFmtId="0" fontId="64" fillId="28" borderId="42" xfId="208" applyFont="1" applyFill="1" applyBorder="1" applyAlignment="1">
      <alignment horizontal="center" vertical="center"/>
    </xf>
    <xf numFmtId="0" fontId="54" fillId="40" borderId="67" xfId="208" applyFont="1" applyFill="1" applyBorder="1" applyAlignment="1">
      <alignment horizontal="center"/>
    </xf>
    <xf numFmtId="0" fontId="54" fillId="40" borderId="29" xfId="208" applyFont="1" applyFill="1" applyBorder="1" applyAlignment="1">
      <alignment horizontal="center"/>
    </xf>
    <xf numFmtId="0" fontId="54" fillId="28" borderId="13" xfId="208" applyFont="1" applyFill="1" applyBorder="1" applyAlignment="1">
      <alignment horizontal="center"/>
    </xf>
    <xf numFmtId="0" fontId="105" fillId="70" borderId="69" xfId="366" applyFont="1" applyFill="1" applyBorder="1" applyAlignment="1">
      <alignment vertical="center" wrapText="1"/>
    </xf>
    <xf numFmtId="0" fontId="105" fillId="70" borderId="85" xfId="366" applyFont="1" applyFill="1" applyBorder="1" applyAlignment="1">
      <alignment vertical="center" wrapText="1"/>
    </xf>
    <xf numFmtId="0" fontId="100" fillId="70" borderId="87" xfId="367" applyFont="1" applyFill="1" applyBorder="1" applyAlignment="1">
      <alignment horizontal="left" vertical="center"/>
    </xf>
    <xf numFmtId="0" fontId="106" fillId="70" borderId="85" xfId="368" applyFont="1" applyFill="1" applyBorder="1" applyAlignment="1">
      <alignment horizontal="left" vertical="center"/>
    </xf>
    <xf numFmtId="0" fontId="36" fillId="0" borderId="0" xfId="366" applyFont="1" applyAlignment="1">
      <alignment horizontal="left" vertical="center"/>
    </xf>
    <xf numFmtId="0" fontId="97" fillId="0" borderId="0" xfId="366" applyFont="1" applyAlignment="1">
      <alignment horizontal="left" vertical="center"/>
    </xf>
    <xf numFmtId="0" fontId="36" fillId="67" borderId="50" xfId="366" applyFont="1" applyFill="1" applyBorder="1" applyAlignment="1">
      <alignment horizontal="left" vertical="center" wrapText="1"/>
    </xf>
    <xf numFmtId="0" fontId="97" fillId="67" borderId="51" xfId="366" applyFont="1" applyFill="1" applyBorder="1" applyAlignment="1">
      <alignment horizontal="left" vertical="center"/>
    </xf>
    <xf numFmtId="0" fontId="96" fillId="67" borderId="51" xfId="368" applyFill="1" applyBorder="1"/>
    <xf numFmtId="0" fontId="56" fillId="68" borderId="83" xfId="369" applyFont="1" applyFill="1" applyBorder="1" applyAlignment="1" applyProtection="1">
      <alignment vertical="center"/>
      <protection locked="0"/>
    </xf>
    <xf numFmtId="0" fontId="102" fillId="68" borderId="29" xfId="369" applyFont="1" applyFill="1" applyBorder="1" applyAlignment="1" applyProtection="1">
      <alignment vertical="center"/>
      <protection locked="0"/>
    </xf>
    <xf numFmtId="0" fontId="102" fillId="68" borderId="83" xfId="369" applyFont="1" applyFill="1" applyBorder="1" applyAlignment="1" applyProtection="1">
      <alignment vertical="center"/>
      <protection locked="0"/>
    </xf>
    <xf numFmtId="0" fontId="75" fillId="28" borderId="14" xfId="203" applyFont="1" applyFill="1" applyBorder="1" applyAlignment="1">
      <alignment vertical="center" wrapText="1"/>
    </xf>
    <xf numFmtId="0" fontId="75" fillId="28" borderId="15" xfId="203" applyFont="1" applyFill="1" applyBorder="1" applyAlignment="1">
      <alignment vertical="center" wrapText="1"/>
    </xf>
    <xf numFmtId="0" fontId="41" fillId="0" borderId="66" xfId="376" applyFont="1" applyBorder="1" applyAlignment="1">
      <alignment horizontal="left" vertical="center" wrapText="1"/>
    </xf>
    <xf numFmtId="0" fontId="41" fillId="0" borderId="61" xfId="376" applyFont="1" applyBorder="1" applyAlignment="1">
      <alignment horizontal="left" vertical="center" wrapText="1"/>
    </xf>
    <xf numFmtId="0" fontId="37" fillId="0" borderId="0" xfId="203" applyFont="1" applyAlignment="1">
      <alignment horizontal="left" vertical="center"/>
    </xf>
    <xf numFmtId="0" fontId="65" fillId="25" borderId="61" xfId="359" applyFont="1" applyFill="1" applyBorder="1" applyAlignment="1" applyProtection="1">
      <alignment horizontal="center" vertical="center" wrapText="1"/>
      <protection locked="0"/>
    </xf>
    <xf numFmtId="0" fontId="65" fillId="25" borderId="41" xfId="359" applyFont="1" applyFill="1" applyBorder="1" applyAlignment="1" applyProtection="1">
      <alignment horizontal="center" vertical="center" wrapText="1"/>
      <protection locked="0"/>
    </xf>
    <xf numFmtId="0" fontId="23" fillId="43" borderId="125" xfId="203" applyFill="1" applyBorder="1" applyAlignment="1" applyProtection="1">
      <alignment horizontal="center" vertical="center" wrapText="1"/>
      <protection locked="0"/>
    </xf>
    <xf numFmtId="0" fontId="0" fillId="43" borderId="27" xfId="0" applyFill="1" applyBorder="1" applyAlignment="1">
      <alignment horizontal="center" vertical="center" wrapText="1"/>
    </xf>
    <xf numFmtId="0" fontId="23" fillId="0" borderId="13" xfId="203" applyBorder="1" applyAlignment="1">
      <alignment horizontal="left" vertical="center" wrapText="1"/>
    </xf>
    <xf numFmtId="0" fontId="23" fillId="0" borderId="34" xfId="203" applyBorder="1" applyAlignment="1">
      <alignment horizontal="center" vertical="center" wrapText="1"/>
    </xf>
    <xf numFmtId="0" fontId="23" fillId="0" borderId="56" xfId="203" applyBorder="1" applyAlignment="1">
      <alignment horizontal="center" vertical="center" wrapText="1"/>
    </xf>
    <xf numFmtId="0" fontId="41" fillId="25" borderId="68" xfId="359" applyFont="1" applyFill="1" applyBorder="1" applyAlignment="1" applyProtection="1">
      <alignment horizontal="center" vertical="center" wrapText="1"/>
      <protection locked="0"/>
    </xf>
    <xf numFmtId="0" fontId="0" fillId="0" borderId="61" xfId="0" applyBorder="1" applyAlignment="1" applyProtection="1">
      <alignment horizontal="center" vertical="center" wrapText="1"/>
      <protection locked="0"/>
    </xf>
    <xf numFmtId="0" fontId="23" fillId="0" borderId="39" xfId="203" applyBorder="1" applyAlignment="1">
      <alignment horizontal="center" vertical="center" wrapText="1"/>
    </xf>
    <xf numFmtId="0" fontId="23" fillId="0" borderId="67" xfId="203" applyBorder="1" applyAlignment="1">
      <alignment horizontal="center" vertical="center" wrapText="1"/>
    </xf>
    <xf numFmtId="0" fontId="23" fillId="0" borderId="46" xfId="203" applyBorder="1" applyAlignment="1">
      <alignment horizontal="center" vertical="center" wrapText="1"/>
    </xf>
    <xf numFmtId="0" fontId="23" fillId="0" borderId="87" xfId="203" applyBorder="1" applyAlignment="1">
      <alignment horizontal="center" vertical="center" wrapText="1"/>
    </xf>
    <xf numFmtId="0" fontId="38" fillId="35" borderId="14" xfId="203" applyFont="1" applyFill="1" applyBorder="1" applyAlignment="1">
      <alignment horizontal="center" vertical="center" wrapText="1"/>
    </xf>
    <xf numFmtId="0" fontId="38" fillId="35" borderId="15" xfId="203" applyFont="1" applyFill="1" applyBorder="1" applyAlignment="1">
      <alignment horizontal="center" vertical="center" wrapText="1"/>
    </xf>
    <xf numFmtId="0" fontId="38" fillId="35" borderId="16" xfId="203" applyFont="1" applyFill="1" applyBorder="1" applyAlignment="1">
      <alignment horizontal="center" vertical="center" wrapText="1"/>
    </xf>
    <xf numFmtId="0" fontId="63" fillId="28" borderId="14" xfId="203" applyFont="1" applyFill="1" applyBorder="1" applyAlignment="1">
      <alignment horizontal="right" vertical="center" wrapText="1"/>
    </xf>
    <xf numFmtId="0" fontId="63" fillId="28" borderId="15" xfId="203" applyFont="1" applyFill="1" applyBorder="1" applyAlignment="1">
      <alignment horizontal="right" vertical="center" wrapText="1"/>
    </xf>
    <xf numFmtId="0" fontId="65" fillId="28" borderId="66" xfId="97" applyFont="1" applyFill="1" applyBorder="1" applyAlignment="1">
      <alignment horizontal="center" vertical="center"/>
    </xf>
    <xf numFmtId="0" fontId="65" fillId="28" borderId="61" xfId="97" applyFont="1" applyFill="1" applyBorder="1" applyAlignment="1">
      <alignment horizontal="center" vertical="center"/>
    </xf>
    <xf numFmtId="0" fontId="65" fillId="28" borderId="41" xfId="97" applyFont="1" applyFill="1" applyBorder="1" applyAlignment="1">
      <alignment horizontal="center" vertical="center"/>
    </xf>
    <xf numFmtId="0" fontId="38" fillId="38" borderId="14" xfId="203" applyFont="1" applyFill="1" applyBorder="1" applyAlignment="1">
      <alignment horizontal="center" vertical="center"/>
    </xf>
    <xf numFmtId="0" fontId="38" fillId="38" borderId="15" xfId="203" applyFont="1" applyFill="1" applyBorder="1" applyAlignment="1">
      <alignment horizontal="center" vertical="center"/>
    </xf>
    <xf numFmtId="0" fontId="38" fillId="38" borderId="105" xfId="203" applyFont="1" applyFill="1" applyBorder="1" applyAlignment="1">
      <alignment horizontal="center" vertical="center"/>
    </xf>
    <xf numFmtId="0" fontId="48" fillId="28" borderId="69" xfId="203" applyFont="1" applyFill="1" applyBorder="1" applyAlignment="1">
      <alignment horizontal="left" vertical="center" wrapText="1"/>
    </xf>
    <xf numFmtId="0" fontId="48" fillId="28" borderId="76" xfId="203" applyFont="1" applyFill="1" applyBorder="1" applyAlignment="1">
      <alignment horizontal="left" vertical="center" wrapText="1"/>
    </xf>
    <xf numFmtId="0" fontId="48" fillId="28" borderId="70" xfId="203" applyFont="1" applyFill="1" applyBorder="1" applyAlignment="1">
      <alignment horizontal="left" vertical="center" wrapText="1"/>
    </xf>
    <xf numFmtId="0" fontId="38" fillId="35" borderId="14" xfId="203" applyFont="1" applyFill="1" applyBorder="1" applyAlignment="1">
      <alignment horizontal="left" vertical="center"/>
    </xf>
    <xf numFmtId="0" fontId="38" fillId="35" borderId="15" xfId="203" applyFont="1" applyFill="1" applyBorder="1" applyAlignment="1">
      <alignment horizontal="left" vertical="center"/>
    </xf>
    <xf numFmtId="0" fontId="38" fillId="35" borderId="16" xfId="203" applyFont="1" applyFill="1" applyBorder="1" applyAlignment="1">
      <alignment horizontal="left" vertical="center"/>
    </xf>
    <xf numFmtId="0" fontId="59" fillId="0" borderId="14" xfId="360" applyFont="1" applyBorder="1" applyAlignment="1">
      <alignment horizontal="center" vertical="center"/>
    </xf>
    <xf numFmtId="0" fontId="59" fillId="0" borderId="15" xfId="360" applyFont="1" applyBorder="1" applyAlignment="1">
      <alignment horizontal="center" vertical="center"/>
    </xf>
    <xf numFmtId="0" fontId="59" fillId="0" borderId="16" xfId="360" applyFont="1" applyBorder="1" applyAlignment="1">
      <alignment horizontal="center" vertical="center"/>
    </xf>
    <xf numFmtId="0" fontId="35" fillId="64" borderId="67" xfId="365" applyFont="1" applyFill="1" applyBorder="1" applyAlignment="1">
      <alignment horizontal="center" vertical="center" wrapText="1"/>
    </xf>
    <xf numFmtId="0" fontId="35" fillId="64" borderId="81" xfId="365" applyFont="1" applyFill="1" applyBorder="1" applyAlignment="1">
      <alignment horizontal="center" vertical="center" wrapText="1"/>
    </xf>
    <xf numFmtId="0" fontId="35" fillId="56" borderId="72" xfId="365" applyFont="1" applyFill="1" applyBorder="1" applyAlignment="1">
      <alignment horizontal="left" vertical="center" wrapText="1" indent="3"/>
    </xf>
    <xf numFmtId="0" fontId="35" fillId="56" borderId="65" xfId="365" applyFont="1" applyFill="1" applyBorder="1" applyAlignment="1">
      <alignment horizontal="left" vertical="center" wrapText="1" indent="3"/>
    </xf>
    <xf numFmtId="0" fontId="35" fillId="56" borderId="79" xfId="365" applyFont="1" applyFill="1" applyBorder="1" applyAlignment="1">
      <alignment horizontal="left" vertical="center" wrapText="1" indent="3"/>
    </xf>
    <xf numFmtId="0" fontId="35" fillId="64" borderId="72" xfId="365" applyFont="1" applyFill="1" applyBorder="1" applyAlignment="1">
      <alignment horizontal="left" vertical="center" wrapText="1" indent="3"/>
    </xf>
    <xf numFmtId="0" fontId="35" fillId="64" borderId="29" xfId="365" applyFont="1" applyFill="1" applyBorder="1" applyAlignment="1">
      <alignment horizontal="left" vertical="center" wrapText="1" indent="3"/>
    </xf>
    <xf numFmtId="0" fontId="35" fillId="50" borderId="67" xfId="365" applyFont="1" applyFill="1" applyBorder="1" applyAlignment="1">
      <alignment horizontal="left" vertical="center" wrapText="1" indent="3"/>
    </xf>
    <xf numFmtId="0" fontId="35" fillId="50" borderId="81" xfId="365" applyFont="1" applyFill="1" applyBorder="1" applyAlignment="1">
      <alignment horizontal="left" vertical="center" wrapText="1" indent="3"/>
    </xf>
    <xf numFmtId="0" fontId="35" fillId="64" borderId="72" xfId="365" applyFont="1" applyFill="1" applyBorder="1" applyAlignment="1">
      <alignment horizontal="left" vertical="center" indent="5"/>
    </xf>
    <xf numFmtId="0" fontId="35" fillId="64" borderId="65" xfId="365" applyFont="1" applyFill="1" applyBorder="1" applyAlignment="1">
      <alignment horizontal="left" vertical="center" indent="5"/>
    </xf>
    <xf numFmtId="0" fontId="35" fillId="64" borderId="79" xfId="365" applyFont="1" applyFill="1" applyBorder="1" applyAlignment="1">
      <alignment horizontal="left" vertical="center" indent="5"/>
    </xf>
    <xf numFmtId="0" fontId="35" fillId="64" borderId="13" xfId="365" applyFont="1" applyFill="1" applyBorder="1" applyAlignment="1">
      <alignment horizontal="left" vertical="center" wrapText="1" indent="5"/>
    </xf>
    <xf numFmtId="0" fontId="35" fillId="50" borderId="13" xfId="365" applyFont="1" applyFill="1" applyBorder="1" applyAlignment="1">
      <alignment horizontal="left" vertical="center" indent="3"/>
    </xf>
    <xf numFmtId="165" fontId="36" fillId="0" borderId="0" xfId="365" applyNumberFormat="1" applyFont="1" applyAlignment="1">
      <alignment horizontal="left" vertical="center"/>
    </xf>
    <xf numFmtId="0" fontId="35" fillId="50" borderId="72" xfId="365" applyFont="1" applyFill="1" applyBorder="1" applyAlignment="1">
      <alignment horizontal="left" vertical="center" wrapText="1" indent="3"/>
    </xf>
    <xf numFmtId="0" fontId="35" fillId="50" borderId="79" xfId="365" applyFont="1" applyFill="1" applyBorder="1" applyAlignment="1">
      <alignment horizontal="left" vertical="center" wrapText="1" indent="3"/>
    </xf>
    <xf numFmtId="0" fontId="35" fillId="53" borderId="67" xfId="365" applyFont="1" applyFill="1" applyBorder="1" applyAlignment="1">
      <alignment horizontal="left" vertical="center" wrapText="1" indent="3"/>
    </xf>
    <xf numFmtId="0" fontId="35" fillId="53" borderId="81" xfId="365" applyFont="1" applyFill="1" applyBorder="1" applyAlignment="1">
      <alignment horizontal="left" vertical="center" wrapText="1" indent="3"/>
    </xf>
    <xf numFmtId="0" fontId="35" fillId="56" borderId="67" xfId="365" applyFont="1" applyFill="1" applyBorder="1" applyAlignment="1">
      <alignment horizontal="left" vertical="center" wrapText="1" indent="3"/>
    </xf>
    <xf numFmtId="0" fontId="35" fillId="56" borderId="81" xfId="365" applyFont="1" applyFill="1" applyBorder="1" applyAlignment="1">
      <alignment horizontal="left" vertical="center" wrapText="1" indent="3"/>
    </xf>
    <xf numFmtId="0" fontId="35" fillId="53" borderId="72" xfId="365" applyFont="1" applyFill="1" applyBorder="1" applyAlignment="1">
      <alignment horizontal="left" vertical="center" wrapText="1" indent="3"/>
    </xf>
    <xf numFmtId="0" fontId="35" fillId="50" borderId="29" xfId="365" applyFont="1" applyFill="1" applyBorder="1" applyAlignment="1">
      <alignment horizontal="left" vertical="center" wrapText="1" indent="3"/>
    </xf>
    <xf numFmtId="0" fontId="35" fillId="50" borderId="13" xfId="365" applyFont="1" applyFill="1" applyBorder="1" applyAlignment="1">
      <alignment horizontal="left" vertical="center" wrapText="1" indent="5"/>
    </xf>
    <xf numFmtId="0" fontId="35" fillId="53" borderId="67" xfId="365" applyFont="1" applyFill="1" applyBorder="1" applyAlignment="1">
      <alignment horizontal="center" vertical="center" wrapText="1"/>
    </xf>
    <xf numFmtId="0" fontId="35" fillId="53" borderId="81" xfId="365" applyFont="1" applyFill="1" applyBorder="1" applyAlignment="1">
      <alignment horizontal="center" vertical="center" wrapText="1"/>
    </xf>
    <xf numFmtId="0" fontId="35" fillId="53" borderId="65" xfId="365" applyFont="1" applyFill="1" applyBorder="1" applyAlignment="1">
      <alignment horizontal="left" vertical="center" wrapText="1" indent="3"/>
    </xf>
    <xf numFmtId="0" fontId="35" fillId="53" borderId="29" xfId="365" applyFont="1" applyFill="1" applyBorder="1" applyAlignment="1">
      <alignment horizontal="left" vertical="center" wrapText="1" indent="3"/>
    </xf>
    <xf numFmtId="165" fontId="36" fillId="0" borderId="13" xfId="365" applyNumberFormat="1" applyFont="1" applyBorder="1" applyAlignment="1">
      <alignment horizontal="left" vertical="center" wrapText="1"/>
    </xf>
    <xf numFmtId="165" fontId="36" fillId="0" borderId="13" xfId="365" applyNumberFormat="1" applyFont="1" applyBorder="1" applyAlignment="1">
      <alignment horizontal="left" vertical="center"/>
    </xf>
    <xf numFmtId="0" fontId="35" fillId="66" borderId="13" xfId="365" applyFont="1" applyFill="1" applyBorder="1" applyAlignment="1">
      <alignment horizontal="center" vertical="center" wrapText="1"/>
    </xf>
    <xf numFmtId="0" fontId="35" fillId="46" borderId="13" xfId="365" applyFont="1" applyFill="1" applyBorder="1" applyAlignment="1">
      <alignment horizontal="center" vertical="center" wrapText="1"/>
    </xf>
    <xf numFmtId="0" fontId="70" fillId="0" borderId="0" xfId="365" applyAlignment="1">
      <alignment horizontal="left" vertical="top" wrapText="1"/>
    </xf>
    <xf numFmtId="0" fontId="35" fillId="64" borderId="13" xfId="365" applyFont="1" applyFill="1" applyBorder="1" applyAlignment="1">
      <alignment horizontal="left" vertical="center" wrapText="1" indent="3"/>
    </xf>
    <xf numFmtId="0" fontId="35" fillId="64" borderId="67" xfId="365" applyFont="1" applyFill="1" applyBorder="1" applyAlignment="1">
      <alignment horizontal="left" vertical="center" wrapText="1" indent="3"/>
    </xf>
    <xf numFmtId="0" fontId="70" fillId="0" borderId="0" xfId="365" applyAlignment="1">
      <alignment horizontal="left" vertical="justify" wrapText="1"/>
    </xf>
    <xf numFmtId="0" fontId="70" fillId="0" borderId="60" xfId="365" applyBorder="1" applyAlignment="1">
      <alignment horizontal="center"/>
    </xf>
    <xf numFmtId="0" fontId="70" fillId="0" borderId="62" xfId="365" applyBorder="1" applyAlignment="1">
      <alignment horizontal="center"/>
    </xf>
    <xf numFmtId="0" fontId="70" fillId="0" borderId="27" xfId="365" applyBorder="1" applyAlignment="1">
      <alignment horizontal="center"/>
    </xf>
    <xf numFmtId="0" fontId="35" fillId="64" borderId="81" xfId="365" applyFont="1" applyFill="1" applyBorder="1" applyAlignment="1">
      <alignment horizontal="left" vertical="center" wrapText="1" indent="3"/>
    </xf>
    <xf numFmtId="0" fontId="0" fillId="0" borderId="120" xfId="0" applyBorder="1" applyAlignment="1">
      <alignment horizontal="center" vertical="center"/>
    </xf>
    <xf numFmtId="0" fontId="0" fillId="0" borderId="117" xfId="0" applyBorder="1" applyAlignment="1">
      <alignment horizontal="center" vertical="center"/>
    </xf>
    <xf numFmtId="0" fontId="41" fillId="73" borderId="14" xfId="365" applyFont="1" applyFill="1" applyBorder="1" applyAlignment="1">
      <alignment horizontal="center" vertical="center" wrapText="1"/>
    </xf>
    <xf numFmtId="0" fontId="0" fillId="0" borderId="16" xfId="0" applyBorder="1" applyAlignment="1">
      <alignment horizontal="center" vertical="center" wrapText="1"/>
    </xf>
    <xf numFmtId="0" fontId="56" fillId="38" borderId="14"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28" xfId="0" applyBorder="1" applyAlignment="1">
      <alignment horizontal="center" vertical="center"/>
    </xf>
    <xf numFmtId="0" fontId="59" fillId="47" borderId="14" xfId="0" applyFont="1" applyFill="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56" fillId="0" borderId="125" xfId="0" applyFont="1" applyBorder="1" applyAlignment="1">
      <alignment horizontal="center" vertical="center"/>
    </xf>
    <xf numFmtId="0" fontId="56" fillId="0" borderId="27" xfId="0" applyFont="1" applyBorder="1" applyAlignment="1">
      <alignment horizontal="center" vertical="center"/>
    </xf>
    <xf numFmtId="0" fontId="0" fillId="0" borderId="141" xfId="0" applyBorder="1" applyAlignment="1">
      <alignment horizontal="center" vertical="center"/>
    </xf>
    <xf numFmtId="0" fontId="59" fillId="47" borderId="89" xfId="0" applyFont="1" applyFill="1" applyBorder="1" applyAlignment="1">
      <alignment horizontal="left" vertical="center"/>
    </xf>
    <xf numFmtId="0" fontId="59" fillId="47" borderId="17" xfId="0" applyFont="1" applyFill="1" applyBorder="1" applyAlignment="1">
      <alignment horizontal="left" vertical="center"/>
    </xf>
    <xf numFmtId="0" fontId="59" fillId="47" borderId="90" xfId="0" applyFont="1" applyFill="1" applyBorder="1" applyAlignment="1">
      <alignment horizontal="left" vertical="center"/>
    </xf>
    <xf numFmtId="0" fontId="59" fillId="47" borderId="14" xfId="0" applyFont="1" applyFill="1" applyBorder="1" applyAlignment="1">
      <alignment horizontal="left" vertical="center"/>
    </xf>
    <xf numFmtId="0" fontId="59" fillId="47" borderId="15" xfId="0" applyFont="1" applyFill="1" applyBorder="1" applyAlignment="1">
      <alignment horizontal="left" vertical="center"/>
    </xf>
    <xf numFmtId="0" fontId="59" fillId="47" borderId="16" xfId="0" applyFont="1" applyFill="1" applyBorder="1" applyAlignment="1">
      <alignment horizontal="left" vertical="center"/>
    </xf>
    <xf numFmtId="0" fontId="59" fillId="35" borderId="89" xfId="0" applyFont="1" applyFill="1" applyBorder="1" applyAlignment="1">
      <alignment horizontal="center" vertical="center"/>
    </xf>
    <xf numFmtId="0" fontId="0" fillId="0" borderId="17" xfId="0" applyBorder="1" applyAlignment="1">
      <alignment horizontal="center" vertical="center"/>
    </xf>
    <xf numFmtId="0" fontId="56" fillId="47" borderId="15" xfId="0" applyFont="1" applyFill="1" applyBorder="1" applyAlignment="1">
      <alignment horizontal="left" vertical="center"/>
    </xf>
    <xf numFmtId="0" fontId="0" fillId="0" borderId="90" xfId="0" applyBorder="1" applyAlignment="1">
      <alignment horizontal="left" vertical="center"/>
    </xf>
    <xf numFmtId="0" fontId="117" fillId="47" borderId="15" xfId="0" applyFont="1" applyFill="1" applyBorder="1" applyAlignment="1">
      <alignment horizontal="left" vertical="center"/>
    </xf>
    <xf numFmtId="0" fontId="0" fillId="0" borderId="37" xfId="0" applyBorder="1" applyAlignment="1">
      <alignment horizontal="left" vertical="center"/>
    </xf>
  </cellXfs>
  <cellStyles count="393">
    <cellStyle name="20 % - Akzent2 2" xfId="1" xr:uid="{00000000-0005-0000-0000-000000000000}"/>
    <cellStyle name="20 % - Akzent2 2 2" xfId="2" xr:uid="{00000000-0005-0000-0000-000001000000}"/>
    <cellStyle name="20% - Akzent1" xfId="3" xr:uid="{00000000-0005-0000-0000-000002000000}"/>
    <cellStyle name="20% - Akzent1 2" xfId="4" xr:uid="{00000000-0005-0000-0000-000003000000}"/>
    <cellStyle name="20% - Akzent1 3" xfId="5" xr:uid="{00000000-0005-0000-0000-000004000000}"/>
    <cellStyle name="20% - Akzent2" xfId="6" xr:uid="{00000000-0005-0000-0000-000005000000}"/>
    <cellStyle name="20% - Akzent2 2" xfId="7" xr:uid="{00000000-0005-0000-0000-000006000000}"/>
    <cellStyle name="20% - Akzent2 2 2" xfId="8" xr:uid="{00000000-0005-0000-0000-000007000000}"/>
    <cellStyle name="20% - Akzent2 2 3" xfId="9" xr:uid="{00000000-0005-0000-0000-000008000000}"/>
    <cellStyle name="20% - Akzent2 3" xfId="10" xr:uid="{00000000-0005-0000-0000-000009000000}"/>
    <cellStyle name="20% - Akzent2 4" xfId="354" xr:uid="{00000000-0005-0000-0000-00000A000000}"/>
    <cellStyle name="20% - Akzent3" xfId="11" xr:uid="{00000000-0005-0000-0000-00000B000000}"/>
    <cellStyle name="20% - Akzent3 2" xfId="12" xr:uid="{00000000-0005-0000-0000-00000C000000}"/>
    <cellStyle name="20% - Akzent3 3" xfId="13" xr:uid="{00000000-0005-0000-0000-00000D000000}"/>
    <cellStyle name="20% - Akzent4" xfId="14" xr:uid="{00000000-0005-0000-0000-00000E000000}"/>
    <cellStyle name="20% - Akzent4 2" xfId="15" xr:uid="{00000000-0005-0000-0000-00000F000000}"/>
    <cellStyle name="20% - Akzent4 3" xfId="16" xr:uid="{00000000-0005-0000-0000-000010000000}"/>
    <cellStyle name="20% - Akzent5" xfId="17" xr:uid="{00000000-0005-0000-0000-000011000000}"/>
    <cellStyle name="20% - Akzent5 2" xfId="18" xr:uid="{00000000-0005-0000-0000-000012000000}"/>
    <cellStyle name="20% - Akzent5 3" xfId="19" xr:uid="{00000000-0005-0000-0000-000013000000}"/>
    <cellStyle name="20% - Akzent6" xfId="20" xr:uid="{00000000-0005-0000-0000-000014000000}"/>
    <cellStyle name="20% - Akzent6 2" xfId="21" xr:uid="{00000000-0005-0000-0000-000015000000}"/>
    <cellStyle name="20% - Akzent6 3" xfId="22" xr:uid="{00000000-0005-0000-0000-000016000000}"/>
    <cellStyle name="40% - Akzent1" xfId="23" xr:uid="{00000000-0005-0000-0000-000017000000}"/>
    <cellStyle name="40% - Akzent1 2" xfId="24" xr:uid="{00000000-0005-0000-0000-000018000000}"/>
    <cellStyle name="40% - Akzent1 3" xfId="25" xr:uid="{00000000-0005-0000-0000-000019000000}"/>
    <cellStyle name="40% - Akzent2" xfId="26" xr:uid="{00000000-0005-0000-0000-00001A000000}"/>
    <cellStyle name="40% - Akzent2 2" xfId="27" xr:uid="{00000000-0005-0000-0000-00001B000000}"/>
    <cellStyle name="40% - Akzent2 3" xfId="28" xr:uid="{00000000-0005-0000-0000-00001C000000}"/>
    <cellStyle name="40% - Akzent3" xfId="29" xr:uid="{00000000-0005-0000-0000-00001D000000}"/>
    <cellStyle name="40% - Akzent3 2" xfId="30" xr:uid="{00000000-0005-0000-0000-00001E000000}"/>
    <cellStyle name="40% - Akzent3 3" xfId="31" xr:uid="{00000000-0005-0000-0000-00001F000000}"/>
    <cellStyle name="40% - Akzent4" xfId="32" xr:uid="{00000000-0005-0000-0000-000020000000}"/>
    <cellStyle name="40% - Akzent4 2" xfId="33" xr:uid="{00000000-0005-0000-0000-000021000000}"/>
    <cellStyle name="40% - Akzent4 3" xfId="34" xr:uid="{00000000-0005-0000-0000-000022000000}"/>
    <cellStyle name="40% - Akzent5" xfId="35" xr:uid="{00000000-0005-0000-0000-000023000000}"/>
    <cellStyle name="40% - Akzent5 2" xfId="36" xr:uid="{00000000-0005-0000-0000-000024000000}"/>
    <cellStyle name="40% - Akzent5 3" xfId="37" xr:uid="{00000000-0005-0000-0000-000025000000}"/>
    <cellStyle name="40% - Akzent6" xfId="38" xr:uid="{00000000-0005-0000-0000-000026000000}"/>
    <cellStyle name="40% - Akzent6 2" xfId="39" xr:uid="{00000000-0005-0000-0000-000027000000}"/>
    <cellStyle name="40% - Akzent6 3" xfId="40" xr:uid="{00000000-0005-0000-0000-000028000000}"/>
    <cellStyle name="60% - Akzent1" xfId="41" xr:uid="{00000000-0005-0000-0000-000029000000}"/>
    <cellStyle name="60% - Akzent2" xfId="42" xr:uid="{00000000-0005-0000-0000-00002A000000}"/>
    <cellStyle name="60% - Akzent3" xfId="43" xr:uid="{00000000-0005-0000-0000-00002B000000}"/>
    <cellStyle name="60% - Akzent4" xfId="44" xr:uid="{00000000-0005-0000-0000-00002C000000}"/>
    <cellStyle name="60% - Akzent5" xfId="45" xr:uid="{00000000-0005-0000-0000-00002D000000}"/>
    <cellStyle name="60% - Akzent6" xfId="46" xr:uid="{00000000-0005-0000-0000-00002E000000}"/>
    <cellStyle name="Akzent1" xfId="47" xr:uid="{00000000-0005-0000-0000-00002F000000}"/>
    <cellStyle name="Akzent1 2" xfId="48" xr:uid="{00000000-0005-0000-0000-000030000000}"/>
    <cellStyle name="Akzent2" xfId="49" xr:uid="{00000000-0005-0000-0000-000031000000}"/>
    <cellStyle name="Akzent2 2" xfId="50" xr:uid="{00000000-0005-0000-0000-000032000000}"/>
    <cellStyle name="Akzent3" xfId="51" xr:uid="{00000000-0005-0000-0000-000033000000}"/>
    <cellStyle name="Akzent3 2" xfId="52" xr:uid="{00000000-0005-0000-0000-000034000000}"/>
    <cellStyle name="Akzent4" xfId="53" xr:uid="{00000000-0005-0000-0000-000035000000}"/>
    <cellStyle name="Akzent4 2" xfId="54" xr:uid="{00000000-0005-0000-0000-000036000000}"/>
    <cellStyle name="Akzent5" xfId="55" xr:uid="{00000000-0005-0000-0000-000037000000}"/>
    <cellStyle name="Akzent5 2" xfId="56" xr:uid="{00000000-0005-0000-0000-000038000000}"/>
    <cellStyle name="Akzent6" xfId="57" xr:uid="{00000000-0005-0000-0000-000039000000}"/>
    <cellStyle name="Akzent6 2" xfId="58" xr:uid="{00000000-0005-0000-0000-00003A000000}"/>
    <cellStyle name="Ausgabe" xfId="59" xr:uid="{00000000-0005-0000-0000-00003B000000}"/>
    <cellStyle name="Ausgabe 2" xfId="60" xr:uid="{00000000-0005-0000-0000-00003C000000}"/>
    <cellStyle name="Ausgabe 3" xfId="61" xr:uid="{00000000-0005-0000-0000-00003D000000}"/>
    <cellStyle name="Berechnung" xfId="62" xr:uid="{00000000-0005-0000-0000-00003E000000}"/>
    <cellStyle name="Berechnung 2" xfId="63" xr:uid="{00000000-0005-0000-0000-00003F000000}"/>
    <cellStyle name="Dezimal 2" xfId="64" xr:uid="{00000000-0005-0000-0000-000040000000}"/>
    <cellStyle name="Dezimal 2 2" xfId="65" xr:uid="{00000000-0005-0000-0000-000041000000}"/>
    <cellStyle name="Dezimal 2 2 2" xfId="66" xr:uid="{00000000-0005-0000-0000-000042000000}"/>
    <cellStyle name="Dezimal 2 2 2 2" xfId="67" xr:uid="{00000000-0005-0000-0000-000043000000}"/>
    <cellStyle name="Dezimal 2 2 2 2 2" xfId="68" xr:uid="{00000000-0005-0000-0000-000044000000}"/>
    <cellStyle name="Dezimal 2 2 2 3" xfId="69" xr:uid="{00000000-0005-0000-0000-000045000000}"/>
    <cellStyle name="Dezimal 2 2 2 3 2" xfId="70" xr:uid="{00000000-0005-0000-0000-000046000000}"/>
    <cellStyle name="Dezimal 2 2 2 4" xfId="71" xr:uid="{00000000-0005-0000-0000-000047000000}"/>
    <cellStyle name="Dezimal 2 2 3" xfId="72" xr:uid="{00000000-0005-0000-0000-000048000000}"/>
    <cellStyle name="Dezimal 2 2 3 2" xfId="73" xr:uid="{00000000-0005-0000-0000-000049000000}"/>
    <cellStyle name="Dezimal 2 2 4" xfId="74" xr:uid="{00000000-0005-0000-0000-00004A000000}"/>
    <cellStyle name="Dezimal 2 2 4 2" xfId="75" xr:uid="{00000000-0005-0000-0000-00004B000000}"/>
    <cellStyle name="Dezimal 2 2 5" xfId="76" xr:uid="{00000000-0005-0000-0000-00004C000000}"/>
    <cellStyle name="Dezimal 2 3" xfId="77" xr:uid="{00000000-0005-0000-0000-00004D000000}"/>
    <cellStyle name="Dezimal 2 3 2" xfId="78" xr:uid="{00000000-0005-0000-0000-00004E000000}"/>
    <cellStyle name="Dezimal 2 3 2 2" xfId="79" xr:uid="{00000000-0005-0000-0000-00004F000000}"/>
    <cellStyle name="Dezimal 2 3 3" xfId="80" xr:uid="{00000000-0005-0000-0000-000050000000}"/>
    <cellStyle name="Dezimal 2 3 3 2" xfId="81" xr:uid="{00000000-0005-0000-0000-000051000000}"/>
    <cellStyle name="Dezimal 2 3 4" xfId="82" xr:uid="{00000000-0005-0000-0000-000052000000}"/>
    <cellStyle name="Dezimal 2 4" xfId="83" xr:uid="{00000000-0005-0000-0000-000053000000}"/>
    <cellStyle name="Dezimal 2 4 2" xfId="84" xr:uid="{00000000-0005-0000-0000-000054000000}"/>
    <cellStyle name="Dezimal 2 4 2 2" xfId="85" xr:uid="{00000000-0005-0000-0000-000055000000}"/>
    <cellStyle name="Dezimal 2 4 3" xfId="86" xr:uid="{00000000-0005-0000-0000-000056000000}"/>
    <cellStyle name="Dezimal 2 4 3 2" xfId="87" xr:uid="{00000000-0005-0000-0000-000057000000}"/>
    <cellStyle name="Dezimal 2 4 4" xfId="88" xr:uid="{00000000-0005-0000-0000-000058000000}"/>
    <cellStyle name="Dezimal 2 5" xfId="89" xr:uid="{00000000-0005-0000-0000-000059000000}"/>
    <cellStyle name="Dezimal 2 5 2" xfId="90" xr:uid="{00000000-0005-0000-0000-00005A000000}"/>
    <cellStyle name="Dezimal 2 6" xfId="91" xr:uid="{00000000-0005-0000-0000-00005B000000}"/>
    <cellStyle name="Dezimal 2 6 2" xfId="92" xr:uid="{00000000-0005-0000-0000-00005C000000}"/>
    <cellStyle name="Dezimal 2 7" xfId="93" xr:uid="{00000000-0005-0000-0000-00005D000000}"/>
    <cellStyle name="Eingabe" xfId="94" xr:uid="{00000000-0005-0000-0000-00005E000000}"/>
    <cellStyle name="Eingabe 10" xfId="95" xr:uid="{00000000-0005-0000-0000-00005F000000}"/>
    <cellStyle name="Eingabe 2" xfId="96" xr:uid="{00000000-0005-0000-0000-000060000000}"/>
    <cellStyle name="Eingabe 2_2010-12-07 Kriterien Sanierung Verwaltung Schule Sozial" xfId="97" xr:uid="{00000000-0005-0000-0000-000061000000}"/>
    <cellStyle name="Eingabe 2_2010-12-07 Kriterien Sanierung Verwaltung Schule Sozial 2" xfId="387" xr:uid="{EC771E55-D680-487D-83EB-A57273DB5524}"/>
    <cellStyle name="Eingabe 2_2010-12-07 Kriterien Sanierung Verwaltung Schule Sozial 2 2" xfId="377" xr:uid="{4DF8E274-557E-4CCC-8397-12E96970D207}"/>
    <cellStyle name="Eingabe 2_2010-12-07 Kriterien Sanierung Verwaltung Schule Sozial 3" xfId="359" xr:uid="{00000000-0005-0000-0000-000063000000}"/>
    <cellStyle name="Eingabe 2_2010-12-07 Kriterien Sanierung Verwaltung Schule Sozial 4" xfId="380" xr:uid="{1736C628-10E8-4698-A403-6907E864C676}"/>
    <cellStyle name="Eingabe 3" xfId="98" xr:uid="{00000000-0005-0000-0000-000064000000}"/>
    <cellStyle name="Eingabe 3 2" xfId="352" xr:uid="{00000000-0005-0000-0000-000065000000}"/>
    <cellStyle name="Eingabe 3 3" xfId="370" xr:uid="{9FD0B355-D70F-4555-A1D4-B89B97555BFA}"/>
    <cellStyle name="Eingabe 3 4" xfId="385" xr:uid="{6946A33A-53C0-4256-ACAF-331EFEB7EC60}"/>
    <cellStyle name="Eingabe 4" xfId="99" xr:uid="{00000000-0005-0000-0000-000066000000}"/>
    <cellStyle name="Eingabe 5" xfId="100" xr:uid="{00000000-0005-0000-0000-000067000000}"/>
    <cellStyle name="Eingabe 6" xfId="101" xr:uid="{00000000-0005-0000-0000-000068000000}"/>
    <cellStyle name="Eingabe 7" xfId="102" xr:uid="{00000000-0005-0000-0000-000069000000}"/>
    <cellStyle name="Eingabe 8" xfId="103" xr:uid="{00000000-0005-0000-0000-00006A000000}"/>
    <cellStyle name="Eingabe 9" xfId="104" xr:uid="{00000000-0005-0000-0000-00006B000000}"/>
    <cellStyle name="Ergebnis" xfId="105" xr:uid="{00000000-0005-0000-0000-00006C000000}"/>
    <cellStyle name="Ergebnis 2" xfId="106" xr:uid="{00000000-0005-0000-0000-00006D000000}"/>
    <cellStyle name="Erklärender Text" xfId="107" xr:uid="{00000000-0005-0000-0000-00006E000000}"/>
    <cellStyle name="Erklärender Text 2" xfId="108" xr:uid="{00000000-0005-0000-0000-00006F000000}"/>
    <cellStyle name="Gut" xfId="109" xr:uid="{00000000-0005-0000-0000-000070000000}"/>
    <cellStyle name="Gut 2" xfId="110" xr:uid="{00000000-0005-0000-0000-000071000000}"/>
    <cellStyle name="Komma" xfId="111" builtinId="3"/>
    <cellStyle name="Komma 2" xfId="112" xr:uid="{00000000-0005-0000-0000-000073000000}"/>
    <cellStyle name="Komma 2 2" xfId="113" xr:uid="{00000000-0005-0000-0000-000074000000}"/>
    <cellStyle name="Komma 2 2 2" xfId="114" xr:uid="{00000000-0005-0000-0000-000075000000}"/>
    <cellStyle name="Komma 2 2 2 2" xfId="115" xr:uid="{00000000-0005-0000-0000-000076000000}"/>
    <cellStyle name="Komma 2 2 2 2 2" xfId="116" xr:uid="{00000000-0005-0000-0000-000077000000}"/>
    <cellStyle name="Komma 2 2 2 3" xfId="117" xr:uid="{00000000-0005-0000-0000-000078000000}"/>
    <cellStyle name="Komma 2 2 2 3 2" xfId="118" xr:uid="{00000000-0005-0000-0000-000079000000}"/>
    <cellStyle name="Komma 2 2 2 4" xfId="119" xr:uid="{00000000-0005-0000-0000-00007A000000}"/>
    <cellStyle name="Komma 2 2 3" xfId="120" xr:uid="{00000000-0005-0000-0000-00007B000000}"/>
    <cellStyle name="Komma 2 2 3 2" xfId="121" xr:uid="{00000000-0005-0000-0000-00007C000000}"/>
    <cellStyle name="Komma 2 2 4" xfId="122" xr:uid="{00000000-0005-0000-0000-00007D000000}"/>
    <cellStyle name="Komma 2 2 4 2" xfId="123" xr:uid="{00000000-0005-0000-0000-00007E000000}"/>
    <cellStyle name="Komma 2 2 5" xfId="124" xr:uid="{00000000-0005-0000-0000-00007F000000}"/>
    <cellStyle name="Komma 2 3" xfId="125" xr:uid="{00000000-0005-0000-0000-000080000000}"/>
    <cellStyle name="Komma 2 3 2" xfId="126" xr:uid="{00000000-0005-0000-0000-000081000000}"/>
    <cellStyle name="Komma 2 3 2 2" xfId="127" xr:uid="{00000000-0005-0000-0000-000082000000}"/>
    <cellStyle name="Komma 2 3 2 2 2" xfId="128" xr:uid="{00000000-0005-0000-0000-000083000000}"/>
    <cellStyle name="Komma 2 3 2 3" xfId="129" xr:uid="{00000000-0005-0000-0000-000084000000}"/>
    <cellStyle name="Komma 2 3 2 3 2" xfId="130" xr:uid="{00000000-0005-0000-0000-000085000000}"/>
    <cellStyle name="Komma 2 3 2 4" xfId="131" xr:uid="{00000000-0005-0000-0000-000086000000}"/>
    <cellStyle name="Komma 2 3 3" xfId="132" xr:uid="{00000000-0005-0000-0000-000087000000}"/>
    <cellStyle name="Komma 2 3 3 2" xfId="133" xr:uid="{00000000-0005-0000-0000-000088000000}"/>
    <cellStyle name="Komma 2 3 4" xfId="134" xr:uid="{00000000-0005-0000-0000-000089000000}"/>
    <cellStyle name="Komma 2 3 4 2" xfId="135" xr:uid="{00000000-0005-0000-0000-00008A000000}"/>
    <cellStyle name="Komma 2 3 5" xfId="136" xr:uid="{00000000-0005-0000-0000-00008B000000}"/>
    <cellStyle name="Komma 2 4" xfId="137" xr:uid="{00000000-0005-0000-0000-00008C000000}"/>
    <cellStyle name="Komma 2 4 2" xfId="138" xr:uid="{00000000-0005-0000-0000-00008D000000}"/>
    <cellStyle name="Komma 2 4 2 2" xfId="139" xr:uid="{00000000-0005-0000-0000-00008E000000}"/>
    <cellStyle name="Komma 2 4 3" xfId="140" xr:uid="{00000000-0005-0000-0000-00008F000000}"/>
    <cellStyle name="Komma 2 4 3 2" xfId="141" xr:uid="{00000000-0005-0000-0000-000090000000}"/>
    <cellStyle name="Komma 2 4 4" xfId="142" xr:uid="{00000000-0005-0000-0000-000091000000}"/>
    <cellStyle name="Komma 2 5" xfId="143" xr:uid="{00000000-0005-0000-0000-000092000000}"/>
    <cellStyle name="Komma 2 5 2" xfId="144" xr:uid="{00000000-0005-0000-0000-000093000000}"/>
    <cellStyle name="Komma 2 5 2 2" xfId="145" xr:uid="{00000000-0005-0000-0000-000094000000}"/>
    <cellStyle name="Komma 2 5 3" xfId="146" xr:uid="{00000000-0005-0000-0000-000095000000}"/>
    <cellStyle name="Komma 2 5 3 2" xfId="147" xr:uid="{00000000-0005-0000-0000-000096000000}"/>
    <cellStyle name="Komma 2 5 4" xfId="148" xr:uid="{00000000-0005-0000-0000-000097000000}"/>
    <cellStyle name="Komma 2 6" xfId="149" xr:uid="{00000000-0005-0000-0000-000098000000}"/>
    <cellStyle name="Komma 2 6 2" xfId="150" xr:uid="{00000000-0005-0000-0000-000099000000}"/>
    <cellStyle name="Komma 2 7" xfId="151" xr:uid="{00000000-0005-0000-0000-00009A000000}"/>
    <cellStyle name="Komma 2 7 2" xfId="152" xr:uid="{00000000-0005-0000-0000-00009B000000}"/>
    <cellStyle name="Komma 2 8" xfId="153" xr:uid="{00000000-0005-0000-0000-00009C000000}"/>
    <cellStyle name="Komma 3" xfId="154" xr:uid="{00000000-0005-0000-0000-00009D000000}"/>
    <cellStyle name="Link" xfId="155" builtinId="8"/>
    <cellStyle name="Link 2" xfId="374" xr:uid="{C6424D2A-8021-4454-A953-ADA2E8308798}"/>
    <cellStyle name="Link 3" xfId="379" xr:uid="{270451CD-D481-4423-AECC-F7582C2A2D64}"/>
    <cellStyle name="Notiz" xfId="156" xr:uid="{00000000-0005-0000-0000-00009F000000}"/>
    <cellStyle name="Notiz 2" xfId="157" xr:uid="{00000000-0005-0000-0000-0000A0000000}"/>
    <cellStyle name="Prozent" xfId="363" builtinId="5"/>
    <cellStyle name="Prozent 2" xfId="158" xr:uid="{00000000-0005-0000-0000-0000A1000000}"/>
    <cellStyle name="Prozent 2 2" xfId="159" xr:uid="{00000000-0005-0000-0000-0000A2000000}"/>
    <cellStyle name="Prozent 2 2 2" xfId="160" xr:uid="{00000000-0005-0000-0000-0000A3000000}"/>
    <cellStyle name="Prozent 2 2 2 2" xfId="161" xr:uid="{00000000-0005-0000-0000-0000A4000000}"/>
    <cellStyle name="Prozent 2 2 2 2 2" xfId="162" xr:uid="{00000000-0005-0000-0000-0000A5000000}"/>
    <cellStyle name="Prozent 2 2 2 3" xfId="163" xr:uid="{00000000-0005-0000-0000-0000A6000000}"/>
    <cellStyle name="Prozent 2 2 2 3 2" xfId="164" xr:uid="{00000000-0005-0000-0000-0000A7000000}"/>
    <cellStyle name="Prozent 2 2 2 4" xfId="165" xr:uid="{00000000-0005-0000-0000-0000A8000000}"/>
    <cellStyle name="Prozent 2 2 3" xfId="166" xr:uid="{00000000-0005-0000-0000-0000A9000000}"/>
    <cellStyle name="Prozent 2 2 3 2" xfId="167" xr:uid="{00000000-0005-0000-0000-0000AA000000}"/>
    <cellStyle name="Prozent 2 2 4" xfId="168" xr:uid="{00000000-0005-0000-0000-0000AB000000}"/>
    <cellStyle name="Prozent 2 2 4 2" xfId="169" xr:uid="{00000000-0005-0000-0000-0000AC000000}"/>
    <cellStyle name="Prozent 2 2 5" xfId="170" xr:uid="{00000000-0005-0000-0000-0000AD000000}"/>
    <cellStyle name="Prozent 2 3" xfId="171" xr:uid="{00000000-0005-0000-0000-0000AE000000}"/>
    <cellStyle name="Prozent 2 3 2" xfId="172" xr:uid="{00000000-0005-0000-0000-0000AF000000}"/>
    <cellStyle name="Prozent 2 3 2 2" xfId="173" xr:uid="{00000000-0005-0000-0000-0000B0000000}"/>
    <cellStyle name="Prozent 2 3 2 2 2" xfId="174" xr:uid="{00000000-0005-0000-0000-0000B1000000}"/>
    <cellStyle name="Prozent 2 3 2 3" xfId="175" xr:uid="{00000000-0005-0000-0000-0000B2000000}"/>
    <cellStyle name="Prozent 2 3 2 3 2" xfId="176" xr:uid="{00000000-0005-0000-0000-0000B3000000}"/>
    <cellStyle name="Prozent 2 3 2 4" xfId="177" xr:uid="{00000000-0005-0000-0000-0000B4000000}"/>
    <cellStyle name="Prozent 2 3 3" xfId="178" xr:uid="{00000000-0005-0000-0000-0000B5000000}"/>
    <cellStyle name="Prozent 2 3 3 2" xfId="179" xr:uid="{00000000-0005-0000-0000-0000B6000000}"/>
    <cellStyle name="Prozent 2 3 4" xfId="180" xr:uid="{00000000-0005-0000-0000-0000B7000000}"/>
    <cellStyle name="Prozent 2 3 4 2" xfId="181" xr:uid="{00000000-0005-0000-0000-0000B8000000}"/>
    <cellStyle name="Prozent 2 3 5" xfId="182" xr:uid="{00000000-0005-0000-0000-0000B9000000}"/>
    <cellStyle name="Prozent 2 4" xfId="183" xr:uid="{00000000-0005-0000-0000-0000BA000000}"/>
    <cellStyle name="Prozent 2 4 2" xfId="184" xr:uid="{00000000-0005-0000-0000-0000BB000000}"/>
    <cellStyle name="Prozent 2 4 2 2" xfId="185" xr:uid="{00000000-0005-0000-0000-0000BC000000}"/>
    <cellStyle name="Prozent 2 4 3" xfId="186" xr:uid="{00000000-0005-0000-0000-0000BD000000}"/>
    <cellStyle name="Prozent 2 4 3 2" xfId="187" xr:uid="{00000000-0005-0000-0000-0000BE000000}"/>
    <cellStyle name="Prozent 2 4 4" xfId="188" xr:uid="{00000000-0005-0000-0000-0000BF000000}"/>
    <cellStyle name="Prozent 2 5" xfId="189" xr:uid="{00000000-0005-0000-0000-0000C0000000}"/>
    <cellStyle name="Prozent 2 5 2" xfId="190" xr:uid="{00000000-0005-0000-0000-0000C1000000}"/>
    <cellStyle name="Prozent 2 5 2 2" xfId="191" xr:uid="{00000000-0005-0000-0000-0000C2000000}"/>
    <cellStyle name="Prozent 2 5 3" xfId="192" xr:uid="{00000000-0005-0000-0000-0000C3000000}"/>
    <cellStyle name="Prozent 2 5 3 2" xfId="193" xr:uid="{00000000-0005-0000-0000-0000C4000000}"/>
    <cellStyle name="Prozent 2 5 4" xfId="194" xr:uid="{00000000-0005-0000-0000-0000C5000000}"/>
    <cellStyle name="Prozent 2 6" xfId="195" xr:uid="{00000000-0005-0000-0000-0000C6000000}"/>
    <cellStyle name="Prozent 2 6 2" xfId="196" xr:uid="{00000000-0005-0000-0000-0000C7000000}"/>
    <cellStyle name="Prozent 2 7" xfId="197" xr:uid="{00000000-0005-0000-0000-0000C8000000}"/>
    <cellStyle name="Prozent 2 7 2" xfId="198" xr:uid="{00000000-0005-0000-0000-0000C9000000}"/>
    <cellStyle name="Prozent 2 8" xfId="199" xr:uid="{00000000-0005-0000-0000-0000CA000000}"/>
    <cellStyle name="Prozent 3" xfId="200" xr:uid="{00000000-0005-0000-0000-0000CB000000}"/>
    <cellStyle name="Schlecht" xfId="201" xr:uid="{00000000-0005-0000-0000-0000CC000000}"/>
    <cellStyle name="Schlecht 2" xfId="202" xr:uid="{00000000-0005-0000-0000-0000CD000000}"/>
    <cellStyle name="Standard" xfId="0" builtinId="0"/>
    <cellStyle name="Standard 10" xfId="378" xr:uid="{07A1A1D8-B2D2-43D7-BDC0-885121463C23}"/>
    <cellStyle name="Standard 2" xfId="203" xr:uid="{00000000-0005-0000-0000-0000CF000000}"/>
    <cellStyle name="Standard 2 2" xfId="348" xr:uid="{00000000-0005-0000-0000-0000D0000000}"/>
    <cellStyle name="Standard 2 2 2" xfId="376" xr:uid="{E3249595-E571-4181-85D3-0029DB3EBFD4}"/>
    <cellStyle name="Standard 2 3" xfId="366" xr:uid="{167F735F-A314-4D5B-89F3-48822CB9027F}"/>
    <cellStyle name="Standard 2 4" xfId="381" xr:uid="{ABE6D1BC-3472-4D9C-B00A-FE64EED6B317}"/>
    <cellStyle name="Standard 3" xfId="204" xr:uid="{00000000-0005-0000-0000-0000D1000000}"/>
    <cellStyle name="Standard 3 10" xfId="349" xr:uid="{00000000-0005-0000-0000-0000D2000000}"/>
    <cellStyle name="Standard 3 10 2" xfId="356" xr:uid="{00000000-0005-0000-0000-0000D3000000}"/>
    <cellStyle name="Standard 3 10 2 2" xfId="390" xr:uid="{B122B9ED-EEA7-49DC-8655-59D5CBD2ED56}"/>
    <cellStyle name="Standard 3 10 3" xfId="361" xr:uid="{520EAD60-CCEE-42EF-AB70-97087D5F8A48}"/>
    <cellStyle name="Standard 3 11" xfId="351" xr:uid="{00000000-0005-0000-0000-0000D4000000}"/>
    <cellStyle name="Standard 3 11 2" xfId="388" xr:uid="{6B249A04-3FD5-400A-A498-D72ACB96A71F}"/>
    <cellStyle name="Standard 3 12" xfId="368" xr:uid="{063D4B2C-BB56-4404-82F2-4EC4D48B8689}"/>
    <cellStyle name="Standard 3 13" xfId="360" xr:uid="{9E06B0DE-F610-4C30-A7C4-260A6EA5E0FB}"/>
    <cellStyle name="Standard 3 14" xfId="383" xr:uid="{E0468957-C086-4C3B-BD7C-F40BDC34B6C6}"/>
    <cellStyle name="Standard 3 2" xfId="205" xr:uid="{00000000-0005-0000-0000-0000D5000000}"/>
    <cellStyle name="Standard 3 2 10" xfId="375" xr:uid="{1167F250-4ABF-49B5-B6C2-74706E27FCE8}"/>
    <cellStyle name="Standard 3 2 11" xfId="384" xr:uid="{037F8994-85BD-4AF7-9A49-143C0E68CFA5}"/>
    <cellStyle name="Standard 3 2 2" xfId="206" xr:uid="{00000000-0005-0000-0000-0000D6000000}"/>
    <cellStyle name="Standard 3 2 2 2" xfId="207" xr:uid="{00000000-0005-0000-0000-0000D7000000}"/>
    <cellStyle name="Standard 3 2 2 2 2" xfId="208" xr:uid="{00000000-0005-0000-0000-0000D8000000}"/>
    <cellStyle name="Standard 3 2 2 2 2 2" xfId="209" xr:uid="{00000000-0005-0000-0000-0000D9000000}"/>
    <cellStyle name="Standard 3 2 2 2 2 3" xfId="350" xr:uid="{00000000-0005-0000-0000-0000DA000000}"/>
    <cellStyle name="Standard 3 2 2 2 2 3 2" xfId="357" xr:uid="{00000000-0005-0000-0000-0000DB000000}"/>
    <cellStyle name="Standard 3 2 2 2 2 3 2 2" xfId="389" xr:uid="{A2683DB4-195C-482C-8DA1-754368850A90}"/>
    <cellStyle name="Standard 3 2 2 2 2 3 3" xfId="362" xr:uid="{CDBE3F62-C302-4806-8FAB-DBC7621075DF}"/>
    <cellStyle name="Standard 3 2 2 2 2 4" xfId="355" xr:uid="{00000000-0005-0000-0000-0000DC000000}"/>
    <cellStyle name="Standard 3 2 2 2 2 4 2" xfId="392" xr:uid="{83F290D0-B7BB-405F-9AC5-503FCF386331}"/>
    <cellStyle name="Standard 3 2 2 2 3" xfId="210" xr:uid="{00000000-0005-0000-0000-0000DD000000}"/>
    <cellStyle name="Standard 3 2 2 2 3 2" xfId="211" xr:uid="{00000000-0005-0000-0000-0000DE000000}"/>
    <cellStyle name="Standard 3 2 2 2 4" xfId="212" xr:uid="{00000000-0005-0000-0000-0000DF000000}"/>
    <cellStyle name="Standard 3 2 2 3" xfId="213" xr:uid="{00000000-0005-0000-0000-0000E0000000}"/>
    <cellStyle name="Standard 3 2 2 3 2" xfId="214" xr:uid="{00000000-0005-0000-0000-0000E1000000}"/>
    <cellStyle name="Standard 3 2 2 4" xfId="215" xr:uid="{00000000-0005-0000-0000-0000E2000000}"/>
    <cellStyle name="Standard 3 2 2 4 2" xfId="216" xr:uid="{00000000-0005-0000-0000-0000E3000000}"/>
    <cellStyle name="Standard 3 2 2 5" xfId="217" xr:uid="{00000000-0005-0000-0000-0000E4000000}"/>
    <cellStyle name="Standard 3 2 3" xfId="218" xr:uid="{00000000-0005-0000-0000-0000E5000000}"/>
    <cellStyle name="Standard 3 2 3 2" xfId="219" xr:uid="{00000000-0005-0000-0000-0000E6000000}"/>
    <cellStyle name="Standard 3 2 3 2 2" xfId="220" xr:uid="{00000000-0005-0000-0000-0000E7000000}"/>
    <cellStyle name="Standard 3 2 3 2 2 2" xfId="221" xr:uid="{00000000-0005-0000-0000-0000E8000000}"/>
    <cellStyle name="Standard 3 2 3 2 3" xfId="222" xr:uid="{00000000-0005-0000-0000-0000E9000000}"/>
    <cellStyle name="Standard 3 2 3 2 3 2" xfId="223" xr:uid="{00000000-0005-0000-0000-0000EA000000}"/>
    <cellStyle name="Standard 3 2 3 2 4" xfId="224" xr:uid="{00000000-0005-0000-0000-0000EB000000}"/>
    <cellStyle name="Standard 3 2 3 3" xfId="225" xr:uid="{00000000-0005-0000-0000-0000EC000000}"/>
    <cellStyle name="Standard 3 2 3 3 2" xfId="226" xr:uid="{00000000-0005-0000-0000-0000ED000000}"/>
    <cellStyle name="Standard 3 2 3 4" xfId="227" xr:uid="{00000000-0005-0000-0000-0000EE000000}"/>
    <cellStyle name="Standard 3 2 3 4 2" xfId="228" xr:uid="{00000000-0005-0000-0000-0000EF000000}"/>
    <cellStyle name="Standard 3 2 3 5" xfId="229" xr:uid="{00000000-0005-0000-0000-0000F0000000}"/>
    <cellStyle name="Standard 3 2 4" xfId="230" xr:uid="{00000000-0005-0000-0000-0000F1000000}"/>
    <cellStyle name="Standard 3 2 4 2" xfId="231" xr:uid="{00000000-0005-0000-0000-0000F2000000}"/>
    <cellStyle name="Standard 3 2 4 2 2" xfId="232" xr:uid="{00000000-0005-0000-0000-0000F3000000}"/>
    <cellStyle name="Standard 3 2 4 3" xfId="233" xr:uid="{00000000-0005-0000-0000-0000F4000000}"/>
    <cellStyle name="Standard 3 2 4 3 2" xfId="234" xr:uid="{00000000-0005-0000-0000-0000F5000000}"/>
    <cellStyle name="Standard 3 2 4 4" xfId="235" xr:uid="{00000000-0005-0000-0000-0000F6000000}"/>
    <cellStyle name="Standard 3 2 5" xfId="236" xr:uid="{00000000-0005-0000-0000-0000F7000000}"/>
    <cellStyle name="Standard 3 2 5 2" xfId="237" xr:uid="{00000000-0005-0000-0000-0000F8000000}"/>
    <cellStyle name="Standard 3 2 5 2 2" xfId="238" xr:uid="{00000000-0005-0000-0000-0000F9000000}"/>
    <cellStyle name="Standard 3 2 5 3" xfId="239" xr:uid="{00000000-0005-0000-0000-0000FA000000}"/>
    <cellStyle name="Standard 3 2 5 3 2" xfId="240" xr:uid="{00000000-0005-0000-0000-0000FB000000}"/>
    <cellStyle name="Standard 3 2 5 4" xfId="241" xr:uid="{00000000-0005-0000-0000-0000FC000000}"/>
    <cellStyle name="Standard 3 2 6" xfId="242" xr:uid="{00000000-0005-0000-0000-0000FD000000}"/>
    <cellStyle name="Standard 3 2 6 2" xfId="243" xr:uid="{00000000-0005-0000-0000-0000FE000000}"/>
    <cellStyle name="Standard 3 2 7" xfId="244" xr:uid="{00000000-0005-0000-0000-0000FF000000}"/>
    <cellStyle name="Standard 3 2 7 2" xfId="245" xr:uid="{00000000-0005-0000-0000-000000010000}"/>
    <cellStyle name="Standard 3 2 8" xfId="246" xr:uid="{00000000-0005-0000-0000-000001010000}"/>
    <cellStyle name="Standard 3 2 9" xfId="369" xr:uid="{827EACDC-1996-478A-92FC-70A0BA241D41}"/>
    <cellStyle name="Standard 3 3" xfId="247" xr:uid="{00000000-0005-0000-0000-000002010000}"/>
    <cellStyle name="Standard 3 3 2" xfId="248" xr:uid="{00000000-0005-0000-0000-000003010000}"/>
    <cellStyle name="Standard 3 3 2 2" xfId="249" xr:uid="{00000000-0005-0000-0000-000004010000}"/>
    <cellStyle name="Standard 3 3 2 2 2" xfId="250" xr:uid="{00000000-0005-0000-0000-000005010000}"/>
    <cellStyle name="Standard 3 3 2 3" xfId="251" xr:uid="{00000000-0005-0000-0000-000006010000}"/>
    <cellStyle name="Standard 3 3 2 3 2" xfId="252" xr:uid="{00000000-0005-0000-0000-000007010000}"/>
    <cellStyle name="Standard 3 3 2 4" xfId="253" xr:uid="{00000000-0005-0000-0000-000008010000}"/>
    <cellStyle name="Standard 3 3 3" xfId="254" xr:uid="{00000000-0005-0000-0000-000009010000}"/>
    <cellStyle name="Standard 3 3 3 2" xfId="255" xr:uid="{00000000-0005-0000-0000-00000A010000}"/>
    <cellStyle name="Standard 3 3 4" xfId="256" xr:uid="{00000000-0005-0000-0000-00000B010000}"/>
    <cellStyle name="Standard 3 3 4 2" xfId="257" xr:uid="{00000000-0005-0000-0000-00000C010000}"/>
    <cellStyle name="Standard 3 3 5" xfId="258" xr:uid="{00000000-0005-0000-0000-00000D010000}"/>
    <cellStyle name="Standard 3 4" xfId="259" xr:uid="{00000000-0005-0000-0000-00000E010000}"/>
    <cellStyle name="Standard 3 4 2" xfId="260" xr:uid="{00000000-0005-0000-0000-00000F010000}"/>
    <cellStyle name="Standard 3 4 2 2" xfId="261" xr:uid="{00000000-0005-0000-0000-000010010000}"/>
    <cellStyle name="Standard 3 4 2 2 2" xfId="262" xr:uid="{00000000-0005-0000-0000-000011010000}"/>
    <cellStyle name="Standard 3 4 2 3" xfId="263" xr:uid="{00000000-0005-0000-0000-000012010000}"/>
    <cellStyle name="Standard 3 4 2 3 2" xfId="264" xr:uid="{00000000-0005-0000-0000-000013010000}"/>
    <cellStyle name="Standard 3 4 2 4" xfId="265" xr:uid="{00000000-0005-0000-0000-000014010000}"/>
    <cellStyle name="Standard 3 4 3" xfId="266" xr:uid="{00000000-0005-0000-0000-000015010000}"/>
    <cellStyle name="Standard 3 4 3 2" xfId="267" xr:uid="{00000000-0005-0000-0000-000016010000}"/>
    <cellStyle name="Standard 3 4 4" xfId="268" xr:uid="{00000000-0005-0000-0000-000017010000}"/>
    <cellStyle name="Standard 3 4 4 2" xfId="269" xr:uid="{00000000-0005-0000-0000-000018010000}"/>
    <cellStyle name="Standard 3 4 5" xfId="270" xr:uid="{00000000-0005-0000-0000-000019010000}"/>
    <cellStyle name="Standard 3 5" xfId="271" xr:uid="{00000000-0005-0000-0000-00001A010000}"/>
    <cellStyle name="Standard 3 5 2" xfId="272" xr:uid="{00000000-0005-0000-0000-00001B010000}"/>
    <cellStyle name="Standard 3 5 2 2" xfId="273" xr:uid="{00000000-0005-0000-0000-00001C010000}"/>
    <cellStyle name="Standard 3 5 3" xfId="274" xr:uid="{00000000-0005-0000-0000-00001D010000}"/>
    <cellStyle name="Standard 3 5 3 2" xfId="275" xr:uid="{00000000-0005-0000-0000-00001E010000}"/>
    <cellStyle name="Standard 3 5 4" xfId="276" xr:uid="{00000000-0005-0000-0000-00001F010000}"/>
    <cellStyle name="Standard 3 6" xfId="277" xr:uid="{00000000-0005-0000-0000-000020010000}"/>
    <cellStyle name="Standard 3 6 2" xfId="278" xr:uid="{00000000-0005-0000-0000-000021010000}"/>
    <cellStyle name="Standard 3 6 2 2" xfId="279" xr:uid="{00000000-0005-0000-0000-000022010000}"/>
    <cellStyle name="Standard 3 6 3" xfId="280" xr:uid="{00000000-0005-0000-0000-000023010000}"/>
    <cellStyle name="Standard 3 6 3 2" xfId="281" xr:uid="{00000000-0005-0000-0000-000024010000}"/>
    <cellStyle name="Standard 3 6 4" xfId="282" xr:uid="{00000000-0005-0000-0000-000025010000}"/>
    <cellStyle name="Standard 3 7" xfId="283" xr:uid="{00000000-0005-0000-0000-000026010000}"/>
    <cellStyle name="Standard 3 7 2" xfId="284" xr:uid="{00000000-0005-0000-0000-000027010000}"/>
    <cellStyle name="Standard 3 8" xfId="285" xr:uid="{00000000-0005-0000-0000-000028010000}"/>
    <cellStyle name="Standard 3 8 2" xfId="286" xr:uid="{00000000-0005-0000-0000-000029010000}"/>
    <cellStyle name="Standard 3 9" xfId="287" xr:uid="{00000000-0005-0000-0000-00002A010000}"/>
    <cellStyle name="Standard 3 9 2" xfId="358" xr:uid="{00000000-0005-0000-0000-00002B010000}"/>
    <cellStyle name="Standard 4" xfId="288" xr:uid="{00000000-0005-0000-0000-00002C010000}"/>
    <cellStyle name="Standard 4 10" xfId="386" xr:uid="{50060D03-70AE-4964-9C2D-5A206764FE12}"/>
    <cellStyle name="Standard 4 2" xfId="289" xr:uid="{00000000-0005-0000-0000-00002D010000}"/>
    <cellStyle name="Standard 4 2 2" xfId="290" xr:uid="{00000000-0005-0000-0000-00002E010000}"/>
    <cellStyle name="Standard 4 2 2 2" xfId="291" xr:uid="{00000000-0005-0000-0000-00002F010000}"/>
    <cellStyle name="Standard 4 2 2 2 2" xfId="292" xr:uid="{00000000-0005-0000-0000-000030010000}"/>
    <cellStyle name="Standard 4 2 2 3" xfId="293" xr:uid="{00000000-0005-0000-0000-000031010000}"/>
    <cellStyle name="Standard 4 2 2 3 2" xfId="294" xr:uid="{00000000-0005-0000-0000-000032010000}"/>
    <cellStyle name="Standard 4 2 2 4" xfId="295" xr:uid="{00000000-0005-0000-0000-000033010000}"/>
    <cellStyle name="Standard 4 2 3" xfId="296" xr:uid="{00000000-0005-0000-0000-000034010000}"/>
    <cellStyle name="Standard 4 2 3 2" xfId="297" xr:uid="{00000000-0005-0000-0000-000035010000}"/>
    <cellStyle name="Standard 4 2 4" xfId="298" xr:uid="{00000000-0005-0000-0000-000036010000}"/>
    <cellStyle name="Standard 4 2 4 2" xfId="299" xr:uid="{00000000-0005-0000-0000-000037010000}"/>
    <cellStyle name="Standard 4 2 5" xfId="300" xr:uid="{00000000-0005-0000-0000-000038010000}"/>
    <cellStyle name="Standard 4 3" xfId="301" xr:uid="{00000000-0005-0000-0000-000039010000}"/>
    <cellStyle name="Standard 4 3 2" xfId="302" xr:uid="{00000000-0005-0000-0000-00003A010000}"/>
    <cellStyle name="Standard 4 3 2 2" xfId="303" xr:uid="{00000000-0005-0000-0000-00003B010000}"/>
    <cellStyle name="Standard 4 3 2 2 2" xfId="304" xr:uid="{00000000-0005-0000-0000-00003C010000}"/>
    <cellStyle name="Standard 4 3 2 3" xfId="305" xr:uid="{00000000-0005-0000-0000-00003D010000}"/>
    <cellStyle name="Standard 4 3 2 3 2" xfId="306" xr:uid="{00000000-0005-0000-0000-00003E010000}"/>
    <cellStyle name="Standard 4 3 2 4" xfId="307" xr:uid="{00000000-0005-0000-0000-00003F010000}"/>
    <cellStyle name="Standard 4 3 3" xfId="308" xr:uid="{00000000-0005-0000-0000-000040010000}"/>
    <cellStyle name="Standard 4 3 3 2" xfId="309" xr:uid="{00000000-0005-0000-0000-000041010000}"/>
    <cellStyle name="Standard 4 3 4" xfId="310" xr:uid="{00000000-0005-0000-0000-000042010000}"/>
    <cellStyle name="Standard 4 3 4 2" xfId="311" xr:uid="{00000000-0005-0000-0000-000043010000}"/>
    <cellStyle name="Standard 4 3 5" xfId="312" xr:uid="{00000000-0005-0000-0000-000044010000}"/>
    <cellStyle name="Standard 4 4" xfId="313" xr:uid="{00000000-0005-0000-0000-000045010000}"/>
    <cellStyle name="Standard 4 4 2" xfId="314" xr:uid="{00000000-0005-0000-0000-000046010000}"/>
    <cellStyle name="Standard 4 4 2 2" xfId="315" xr:uid="{00000000-0005-0000-0000-000047010000}"/>
    <cellStyle name="Standard 4 4 3" xfId="316" xr:uid="{00000000-0005-0000-0000-000048010000}"/>
    <cellStyle name="Standard 4 4 3 2" xfId="317" xr:uid="{00000000-0005-0000-0000-000049010000}"/>
    <cellStyle name="Standard 4 4 4" xfId="318" xr:uid="{00000000-0005-0000-0000-00004A010000}"/>
    <cellStyle name="Standard 4 5" xfId="319" xr:uid="{00000000-0005-0000-0000-00004B010000}"/>
    <cellStyle name="Standard 4 5 2" xfId="320" xr:uid="{00000000-0005-0000-0000-00004C010000}"/>
    <cellStyle name="Standard 4 5 2 2" xfId="321" xr:uid="{00000000-0005-0000-0000-00004D010000}"/>
    <cellStyle name="Standard 4 5 3" xfId="322" xr:uid="{00000000-0005-0000-0000-00004E010000}"/>
    <cellStyle name="Standard 4 5 3 2" xfId="323" xr:uid="{00000000-0005-0000-0000-00004F010000}"/>
    <cellStyle name="Standard 4 5 4" xfId="324" xr:uid="{00000000-0005-0000-0000-000050010000}"/>
    <cellStyle name="Standard 4 6" xfId="325" xr:uid="{00000000-0005-0000-0000-000051010000}"/>
    <cellStyle name="Standard 4 6 2" xfId="326" xr:uid="{00000000-0005-0000-0000-000052010000}"/>
    <cellStyle name="Standard 4 7" xfId="327" xr:uid="{00000000-0005-0000-0000-000053010000}"/>
    <cellStyle name="Standard 4 7 2" xfId="328" xr:uid="{00000000-0005-0000-0000-000054010000}"/>
    <cellStyle name="Standard 4 8" xfId="329" xr:uid="{00000000-0005-0000-0000-000055010000}"/>
    <cellStyle name="Standard 4 9" xfId="353" xr:uid="{00000000-0005-0000-0000-000056010000}"/>
    <cellStyle name="Standard 4 9 2" xfId="391" xr:uid="{593BD682-691F-4FA2-9D10-A6BEDFA9BF82}"/>
    <cellStyle name="Standard 5" xfId="330" xr:uid="{00000000-0005-0000-0000-000057010000}"/>
    <cellStyle name="Standard 5 2" xfId="331" xr:uid="{00000000-0005-0000-0000-000058010000}"/>
    <cellStyle name="Standard 5 3" xfId="367" xr:uid="{73BBD0B8-0322-4A5C-A336-DC57E3D0E44B}"/>
    <cellStyle name="Standard 5 4" xfId="382" xr:uid="{343D2AC0-B667-497F-9225-6F7FCDE76BDA}"/>
    <cellStyle name="Standard 6" xfId="365" xr:uid="{CBA2A9D6-D382-4685-8C0E-2E1347B67FBA}"/>
    <cellStyle name="Standard 6 2" xfId="372" xr:uid="{7285CCA7-7B48-4A4E-A70D-AAD25A466DA4}"/>
    <cellStyle name="Standard 7" xfId="364" xr:uid="{B42E54AD-D510-410C-BDB3-664365642DF1}"/>
    <cellStyle name="Standard 8" xfId="371" xr:uid="{ADA0F7EC-6BCB-43B3-854C-0433FA4B4D53}"/>
    <cellStyle name="Standard 9" xfId="373" xr:uid="{F293C965-7C69-4CBD-91F9-19E9CB9462CC}"/>
    <cellStyle name="Überschrift" xfId="332" xr:uid="{00000000-0005-0000-0000-000059010000}"/>
    <cellStyle name="Überschrift 1" xfId="333" xr:uid="{00000000-0005-0000-0000-00005A010000}"/>
    <cellStyle name="Überschrift 1 2" xfId="334" xr:uid="{00000000-0005-0000-0000-00005B010000}"/>
    <cellStyle name="Überschrift 2" xfId="335" xr:uid="{00000000-0005-0000-0000-00005C010000}"/>
    <cellStyle name="Überschrift 2 2" xfId="336" xr:uid="{00000000-0005-0000-0000-00005D010000}"/>
    <cellStyle name="Überschrift 3" xfId="337" xr:uid="{00000000-0005-0000-0000-00005E010000}"/>
    <cellStyle name="Überschrift 3 2" xfId="338" xr:uid="{00000000-0005-0000-0000-00005F010000}"/>
    <cellStyle name="Überschrift 4" xfId="339" xr:uid="{00000000-0005-0000-0000-000060010000}"/>
    <cellStyle name="Überschrift 4 2" xfId="340" xr:uid="{00000000-0005-0000-0000-000061010000}"/>
    <cellStyle name="Überschrift 5" xfId="341" xr:uid="{00000000-0005-0000-0000-000062010000}"/>
    <cellStyle name="Verknüpfte Zelle" xfId="342" xr:uid="{00000000-0005-0000-0000-000063010000}"/>
    <cellStyle name="Verknüpfte Zelle 2" xfId="343" xr:uid="{00000000-0005-0000-0000-000064010000}"/>
    <cellStyle name="Warnender Text" xfId="344" xr:uid="{00000000-0005-0000-0000-000065010000}"/>
    <cellStyle name="Warnender Text 2" xfId="345" xr:uid="{00000000-0005-0000-0000-000066010000}"/>
    <cellStyle name="Zelle überprüfen" xfId="346" xr:uid="{00000000-0005-0000-0000-000067010000}"/>
    <cellStyle name="Zelle überprüfen 2" xfId="347" xr:uid="{00000000-0005-0000-0000-000068010000}"/>
  </cellStyles>
  <dxfs count="56">
    <dxf>
      <font>
        <strike val="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ill>
        <patternFill>
          <bgColor rgb="FFFF0000"/>
        </patternFill>
      </fill>
    </dxf>
    <dxf>
      <font>
        <strike val="0"/>
      </font>
      <fill>
        <patternFill>
          <bgColor rgb="FFFF0000"/>
        </patternFill>
      </fill>
    </dxf>
    <dxf>
      <font>
        <color theme="6" tint="-0.24994659260841701"/>
      </font>
      <fill>
        <patternFill patternType="none">
          <bgColor auto="1"/>
        </patternFill>
      </fill>
    </dxf>
    <dxf>
      <font>
        <color rgb="FF9C0006"/>
      </font>
      <fill>
        <patternFill>
          <bgColor rgb="FFFFC7CE"/>
        </patternFill>
      </fill>
    </dxf>
    <dxf>
      <font>
        <color auto="1"/>
      </font>
      <fill>
        <patternFill>
          <bgColor theme="6" tint="0.39994506668294322"/>
        </patternFill>
      </fill>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lor indexed="22"/>
      </font>
    </dxf>
    <dxf>
      <font>
        <condense val="0"/>
        <extend val="0"/>
        <color indexed="22"/>
      </font>
    </dxf>
    <dxf>
      <font>
        <condense val="0"/>
        <extend val="0"/>
        <color indexed="22"/>
      </font>
    </dxf>
    <dxf>
      <font>
        <condense val="0"/>
        <extend val="0"/>
        <color indexed="22"/>
      </font>
    </dxf>
    <dxf>
      <font>
        <color indexed="22"/>
      </font>
    </dxf>
    <dxf>
      <font>
        <condense val="0"/>
        <extend val="0"/>
        <color indexed="22"/>
      </font>
    </dxf>
    <dxf>
      <font>
        <color indexed="22"/>
      </font>
    </dxf>
  </dxfs>
  <tableStyles count="0" defaultTableStyle="TableStyleMedium9" defaultPivotStyle="PivotStyleLight16"/>
  <colors>
    <mruColors>
      <color rgb="FFC4D79B"/>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Graphik'!$I$74:$J$74</c:f>
              <c:strCache>
                <c:ptCount val="1"/>
                <c:pt idx="0">
                  <c:v>Primärenergiebedarf</c:v>
                </c:pt>
              </c:strCache>
            </c:strRef>
          </c:tx>
          <c:spPr>
            <a:ln>
              <a:solidFill>
                <a:schemeClr val="accent6">
                  <a:lumMod val="75000"/>
                </a:schemeClr>
              </a:solidFill>
            </a:ln>
          </c:spPr>
          <c:marker>
            <c:symbol val="none"/>
          </c:marker>
          <c:cat>
            <c:numRef>
              <c:f>'B1 Graphik'!$I$76:$I$118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Graphik'!$J$76:$J$118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c:v>
                </c:pt>
                <c:pt idx="14">
                  <c:v>110</c:v>
                </c:pt>
                <c:pt idx="15">
                  <c:v>105</c:v>
                </c:pt>
                <c:pt idx="16">
                  <c:v>100</c:v>
                </c:pt>
                <c:pt idx="17">
                  <c:v>95</c:v>
                </c:pt>
                <c:pt idx="18">
                  <c:v>90</c:v>
                </c:pt>
                <c:pt idx="19">
                  <c:v>85</c:v>
                </c:pt>
                <c:pt idx="20">
                  <c:v>80</c:v>
                </c:pt>
                <c:pt idx="21">
                  <c:v>75</c:v>
                </c:pt>
                <c:pt idx="22">
                  <c:v>70</c:v>
                </c:pt>
                <c:pt idx="23">
                  <c:v>65</c:v>
                </c:pt>
                <c:pt idx="24">
                  <c:v>60</c:v>
                </c:pt>
                <c:pt idx="25">
                  <c:v>55</c:v>
                </c:pt>
                <c:pt idx="26">
                  <c:v>50</c:v>
                </c:pt>
                <c:pt idx="27">
                  <c:v>45</c:v>
                </c:pt>
                <c:pt idx="28">
                  <c:v>40</c:v>
                </c:pt>
                <c:pt idx="29">
                  <c:v>35</c:v>
                </c:pt>
                <c:pt idx="30">
                  <c:v>30</c:v>
                </c:pt>
                <c:pt idx="31">
                  <c:v>25</c:v>
                </c:pt>
                <c:pt idx="32">
                  <c:v>20</c:v>
                </c:pt>
                <c:pt idx="33">
                  <c:v>15</c:v>
                </c:pt>
                <c:pt idx="34">
                  <c:v>10</c:v>
                </c:pt>
                <c:pt idx="35">
                  <c:v>5</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6313-48F0-84DE-2307309271B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'B2 Graphik'!$K$75:$L$75</c:f>
              <c:strCache>
                <c:ptCount val="1"/>
                <c:pt idx="0">
                  <c:v>Em. CO2-Äquivalente</c:v>
                </c:pt>
              </c:strCache>
            </c:strRef>
          </c:tx>
          <c:spPr>
            <a:prstGeom prst="rect">
              <a:avLst/>
            </a:prstGeom>
            <a:ln w="22225">
              <a:solidFill>
                <a:schemeClr val="accent2"/>
              </a:solidFill>
            </a:ln>
          </c:spPr>
          <c:marker>
            <c:symbol val="none"/>
          </c:marker>
          <c:cat>
            <c:numRef>
              <c:f>'B2 Graphik'!$K$77:$K$97</c:f>
              <c:numCache>
                <c:formatCode>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'B2 Graphik'!$L$77:$L$97</c:f>
              <c:numCache>
                <c:formatCode>0</c:formatCode>
                <c:ptCount val="21"/>
                <c:pt idx="0">
                  <c:v>135</c:v>
                </c:pt>
                <c:pt idx="1">
                  <c:v>135</c:v>
                </c:pt>
                <c:pt idx="2">
                  <c:v>135</c:v>
                </c:pt>
                <c:pt idx="3">
                  <c:v>135</c:v>
                </c:pt>
                <c:pt idx="4">
                  <c:v>135</c:v>
                </c:pt>
                <c:pt idx="5">
                  <c:v>135</c:v>
                </c:pt>
                <c:pt idx="6">
                  <c:v>135</c:v>
                </c:pt>
                <c:pt idx="7">
                  <c:v>135</c:v>
                </c:pt>
                <c:pt idx="8">
                  <c:v>135</c:v>
                </c:pt>
                <c:pt idx="9">
                  <c:v>135</c:v>
                </c:pt>
                <c:pt idx="10">
                  <c:v>135</c:v>
                </c:pt>
                <c:pt idx="11">
                  <c:v>101.25</c:v>
                </c:pt>
                <c:pt idx="12">
                  <c:v>67.5</c:v>
                </c:pt>
                <c:pt idx="13">
                  <c:v>33.75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4F37-4EE5-B994-7A66E389F85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Heizung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'B2 Graphik'!$B$75:$C$75</c:f>
              <c:strCache>
                <c:ptCount val="1"/>
                <c:pt idx="0">
                  <c:v>Nutzenergiebedarf Heizung</c:v>
                </c:pt>
              </c:strCache>
            </c:strRef>
          </c:tx>
          <c:spPr>
            <a:ln w="22225"/>
          </c:spPr>
          <c:marker>
            <c:symbol val="none"/>
          </c:marker>
          <c:cat>
            <c:numRef>
              <c:f>'B2 Graphik'!$B$77:$B$95</c:f>
              <c:numCache>
                <c:formatCode>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'B2 Graphik'!$C$77:$C$95</c:f>
              <c:numCache>
                <c:formatCode>0</c:formatCode>
                <c:ptCount val="19"/>
                <c:pt idx="0">
                  <c:v>50</c:v>
                </c:pt>
                <c:pt idx="1">
                  <c:v>50</c:v>
                </c:pt>
                <c:pt idx="2">
                  <c:v>50</c:v>
                </c:pt>
                <c:pt idx="3">
                  <c:v>50</c:v>
                </c:pt>
                <c:pt idx="4">
                  <c:v>50</c:v>
                </c:pt>
                <c:pt idx="5">
                  <c:v>50</c:v>
                </c:pt>
                <c:pt idx="6">
                  <c:v>44.444444444444443</c:v>
                </c:pt>
                <c:pt idx="7">
                  <c:v>38.888888888888893</c:v>
                </c:pt>
                <c:pt idx="8">
                  <c:v>33.333333333333336</c:v>
                </c:pt>
                <c:pt idx="9">
                  <c:v>27.777777777777779</c:v>
                </c:pt>
                <c:pt idx="10">
                  <c:v>22.222222222222221</c:v>
                </c:pt>
                <c:pt idx="11">
                  <c:v>16.666666666666668</c:v>
                </c:pt>
                <c:pt idx="12">
                  <c:v>11.111111111111111</c:v>
                </c:pt>
                <c:pt idx="13">
                  <c:v>5.5555555555555554</c:v>
                </c:pt>
                <c:pt idx="14">
                  <c:v>0</c:v>
                </c:pt>
                <c:pt idx="15">
                  <c:v>0</c:v>
                </c:pt>
                <c:pt idx="16">
                  <c:v>0</c:v>
                </c:pt>
                <c:pt idx="17">
                  <c:v>0</c:v>
                </c:pt>
                <c:pt idx="18">
                  <c:v>0</c:v>
                </c:pt>
              </c:numCache>
            </c:numRef>
          </c:val>
          <c:smooth val="0"/>
          <c:extLst>
            <c:ext xmlns:c16="http://schemas.microsoft.com/office/drawing/2014/chart" uri="{C3380CC4-5D6E-409C-BE32-E72D297353CC}">
              <c16:uniqueId val="{00000001-E286-4629-B32A-D918AF7C367F}"/>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Kühlung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'B2 Graphik'!$E$75:$F$75</c:f>
              <c:strCache>
                <c:ptCount val="1"/>
                <c:pt idx="0">
                  <c:v>Nutzenergiebedarf Kühlung</c:v>
                </c:pt>
              </c:strCache>
            </c:strRef>
          </c:tx>
          <c:spPr>
            <a:ln w="22225"/>
          </c:spPr>
          <c:marker>
            <c:symbol val="none"/>
          </c:marker>
          <c:cat>
            <c:numRef>
              <c:f>'B2 Graphik'!$E$77:$E$92</c:f>
              <c:numCache>
                <c:formatCode>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'B2 Graphik'!$F$77:$F$92</c:f>
              <c:numCache>
                <c:formatCode>0</c:formatCode>
                <c:ptCount val="16"/>
                <c:pt idx="0">
                  <c:v>45</c:v>
                </c:pt>
                <c:pt idx="1">
                  <c:v>45</c:v>
                </c:pt>
                <c:pt idx="2">
                  <c:v>45</c:v>
                </c:pt>
                <c:pt idx="3">
                  <c:v>45</c:v>
                </c:pt>
                <c:pt idx="4">
                  <c:v>45</c:v>
                </c:pt>
                <c:pt idx="5">
                  <c:v>45</c:v>
                </c:pt>
                <c:pt idx="6">
                  <c:v>40</c:v>
                </c:pt>
                <c:pt idx="7">
                  <c:v>35</c:v>
                </c:pt>
                <c:pt idx="8">
                  <c:v>30</c:v>
                </c:pt>
                <c:pt idx="9">
                  <c:v>25</c:v>
                </c:pt>
                <c:pt idx="10">
                  <c:v>20</c:v>
                </c:pt>
                <c:pt idx="11">
                  <c:v>15</c:v>
                </c:pt>
                <c:pt idx="12">
                  <c:v>10</c:v>
                </c:pt>
                <c:pt idx="13">
                  <c:v>5</c:v>
                </c:pt>
                <c:pt idx="14">
                  <c:v>0</c:v>
                </c:pt>
                <c:pt idx="15">
                  <c:v>0</c:v>
                </c:pt>
              </c:numCache>
            </c:numRef>
          </c:val>
          <c:smooth val="0"/>
          <c:extLst>
            <c:ext xmlns:c16="http://schemas.microsoft.com/office/drawing/2014/chart" uri="{C3380CC4-5D6E-409C-BE32-E72D297353CC}">
              <c16:uniqueId val="{00000000-1160-43AD-B0DE-8B10512B8330}"/>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Sanierung</a:t>
            </a:r>
          </a:p>
        </c:rich>
      </c:tx>
      <c:overlay val="0"/>
    </c:title>
    <c:autoTitleDeleted val="0"/>
    <c:plotArea>
      <c:layout/>
      <c:lineChart>
        <c:grouping val="standard"/>
        <c:varyColors val="0"/>
        <c:ser>
          <c:idx val="0"/>
          <c:order val="0"/>
          <c:tx>
            <c:strRef>
              <c:f>'B2 Graphik'!$U$75:$V$75</c:f>
              <c:strCache>
                <c:ptCount val="1"/>
                <c:pt idx="0">
                  <c:v>Primärenergiebedarf</c:v>
                </c:pt>
              </c:strCache>
            </c:strRef>
          </c:tx>
          <c:spPr>
            <a:prstGeom prst="rect">
              <a:avLst/>
            </a:prstGeom>
            <a:ln w="22225">
              <a:solidFill>
                <a:schemeClr val="accent2"/>
              </a:solidFill>
            </a:ln>
          </c:spPr>
          <c:marker>
            <c:symbol val="none"/>
          </c:marker>
          <c:cat>
            <c:numRef>
              <c:f>'B2 Graphik'!$U$77:$U$152</c:f>
              <c:numCache>
                <c:formatCode>0</c:formatCode>
                <c:ptCount val="7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pt idx="46">
                  <c:v>92</c:v>
                </c:pt>
                <c:pt idx="47">
                  <c:v>94</c:v>
                </c:pt>
                <c:pt idx="48">
                  <c:v>96</c:v>
                </c:pt>
                <c:pt idx="49">
                  <c:v>98</c:v>
                </c:pt>
                <c:pt idx="50">
                  <c:v>100</c:v>
                </c:pt>
                <c:pt idx="51">
                  <c:v>102</c:v>
                </c:pt>
                <c:pt idx="52">
                  <c:v>104</c:v>
                </c:pt>
                <c:pt idx="53">
                  <c:v>106</c:v>
                </c:pt>
                <c:pt idx="54">
                  <c:v>108</c:v>
                </c:pt>
                <c:pt idx="55">
                  <c:v>110</c:v>
                </c:pt>
                <c:pt idx="56">
                  <c:v>112</c:v>
                </c:pt>
                <c:pt idx="57">
                  <c:v>114</c:v>
                </c:pt>
                <c:pt idx="58">
                  <c:v>116</c:v>
                </c:pt>
                <c:pt idx="59">
                  <c:v>118</c:v>
                </c:pt>
                <c:pt idx="60">
                  <c:v>120</c:v>
                </c:pt>
                <c:pt idx="61">
                  <c:v>122</c:v>
                </c:pt>
                <c:pt idx="62">
                  <c:v>124</c:v>
                </c:pt>
                <c:pt idx="63">
                  <c:v>126</c:v>
                </c:pt>
                <c:pt idx="64">
                  <c:v>128</c:v>
                </c:pt>
                <c:pt idx="65">
                  <c:v>130</c:v>
                </c:pt>
                <c:pt idx="66">
                  <c:v>132</c:v>
                </c:pt>
                <c:pt idx="67">
                  <c:v>134</c:v>
                </c:pt>
                <c:pt idx="68">
                  <c:v>136</c:v>
                </c:pt>
                <c:pt idx="69">
                  <c:v>138</c:v>
                </c:pt>
                <c:pt idx="70">
                  <c:v>140</c:v>
                </c:pt>
                <c:pt idx="71">
                  <c:v>142</c:v>
                </c:pt>
                <c:pt idx="72">
                  <c:v>144</c:v>
                </c:pt>
                <c:pt idx="73">
                  <c:v>146</c:v>
                </c:pt>
                <c:pt idx="74">
                  <c:v>148</c:v>
                </c:pt>
                <c:pt idx="75">
                  <c:v>150</c:v>
                </c:pt>
              </c:numCache>
            </c:numRef>
          </c:cat>
          <c:val>
            <c:numRef>
              <c:f>'B2 Graphik'!$V$77:$V$152</c:f>
              <c:numCache>
                <c:formatCode>0</c:formatCode>
                <c:ptCount val="76"/>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120</c:v>
                </c:pt>
                <c:pt idx="16">
                  <c:v>120</c:v>
                </c:pt>
                <c:pt idx="17">
                  <c:v>120</c:v>
                </c:pt>
                <c:pt idx="18">
                  <c:v>120</c:v>
                </c:pt>
                <c:pt idx="19">
                  <c:v>117.77777777777779</c:v>
                </c:pt>
                <c:pt idx="20">
                  <c:v>115.55555555555556</c:v>
                </c:pt>
                <c:pt idx="21">
                  <c:v>113.33333333333334</c:v>
                </c:pt>
                <c:pt idx="22">
                  <c:v>111.11111111111111</c:v>
                </c:pt>
                <c:pt idx="23">
                  <c:v>108.8888888888889</c:v>
                </c:pt>
                <c:pt idx="24">
                  <c:v>106.66666666666667</c:v>
                </c:pt>
                <c:pt idx="25">
                  <c:v>104.44444444444444</c:v>
                </c:pt>
                <c:pt idx="26">
                  <c:v>102.22222222222223</c:v>
                </c:pt>
                <c:pt idx="27">
                  <c:v>100</c:v>
                </c:pt>
                <c:pt idx="28">
                  <c:v>97.777777777777786</c:v>
                </c:pt>
                <c:pt idx="29">
                  <c:v>95.555555555555557</c:v>
                </c:pt>
                <c:pt idx="30">
                  <c:v>93.333333333333343</c:v>
                </c:pt>
                <c:pt idx="31">
                  <c:v>91.111111111111114</c:v>
                </c:pt>
                <c:pt idx="32">
                  <c:v>88.888888888888886</c:v>
                </c:pt>
                <c:pt idx="33">
                  <c:v>86.666666666666671</c:v>
                </c:pt>
                <c:pt idx="34">
                  <c:v>84.444444444444443</c:v>
                </c:pt>
                <c:pt idx="35">
                  <c:v>82.222222222222229</c:v>
                </c:pt>
                <c:pt idx="36">
                  <c:v>80</c:v>
                </c:pt>
                <c:pt idx="37">
                  <c:v>77.777777777777786</c:v>
                </c:pt>
                <c:pt idx="38">
                  <c:v>75.555555555555557</c:v>
                </c:pt>
                <c:pt idx="39">
                  <c:v>73.333333333333343</c:v>
                </c:pt>
                <c:pt idx="40">
                  <c:v>71.111111111111114</c:v>
                </c:pt>
                <c:pt idx="41">
                  <c:v>68.888888888888886</c:v>
                </c:pt>
                <c:pt idx="42">
                  <c:v>66.666666666666671</c:v>
                </c:pt>
                <c:pt idx="43">
                  <c:v>64.444444444444443</c:v>
                </c:pt>
                <c:pt idx="44">
                  <c:v>62.222222222222229</c:v>
                </c:pt>
                <c:pt idx="45">
                  <c:v>60</c:v>
                </c:pt>
                <c:pt idx="46">
                  <c:v>57.777777777777779</c:v>
                </c:pt>
                <c:pt idx="47">
                  <c:v>55.555555555555557</c:v>
                </c:pt>
                <c:pt idx="48">
                  <c:v>53.333333333333336</c:v>
                </c:pt>
                <c:pt idx="49">
                  <c:v>51.111111111111114</c:v>
                </c:pt>
                <c:pt idx="50">
                  <c:v>48.888888888888893</c:v>
                </c:pt>
                <c:pt idx="51">
                  <c:v>46.666666666666671</c:v>
                </c:pt>
                <c:pt idx="52">
                  <c:v>44.444444444444443</c:v>
                </c:pt>
                <c:pt idx="53">
                  <c:v>42.222222222222221</c:v>
                </c:pt>
                <c:pt idx="54">
                  <c:v>40</c:v>
                </c:pt>
                <c:pt idx="55">
                  <c:v>37.777777777777779</c:v>
                </c:pt>
                <c:pt idx="56">
                  <c:v>35.555555555555557</c:v>
                </c:pt>
                <c:pt idx="57">
                  <c:v>33.333333333333336</c:v>
                </c:pt>
                <c:pt idx="58">
                  <c:v>31.111111111111114</c:v>
                </c:pt>
                <c:pt idx="59">
                  <c:v>28.888888888888889</c:v>
                </c:pt>
                <c:pt idx="60">
                  <c:v>26.666666666666668</c:v>
                </c:pt>
                <c:pt idx="61">
                  <c:v>24.444444444444446</c:v>
                </c:pt>
                <c:pt idx="62">
                  <c:v>22.222222222222221</c:v>
                </c:pt>
                <c:pt idx="63">
                  <c:v>20</c:v>
                </c:pt>
                <c:pt idx="64">
                  <c:v>17.777777777777779</c:v>
                </c:pt>
                <c:pt idx="65">
                  <c:v>15.555555555555557</c:v>
                </c:pt>
                <c:pt idx="66">
                  <c:v>13.333333333333334</c:v>
                </c:pt>
                <c:pt idx="67">
                  <c:v>11.111111111111111</c:v>
                </c:pt>
                <c:pt idx="68">
                  <c:v>8.8888888888888893</c:v>
                </c:pt>
                <c:pt idx="69">
                  <c:v>6.666666666666667</c:v>
                </c:pt>
                <c:pt idx="70">
                  <c:v>4.4444444444444446</c:v>
                </c:pt>
                <c:pt idx="71">
                  <c:v>2.2222222222222223</c:v>
                </c:pt>
                <c:pt idx="72">
                  <c:v>0</c:v>
                </c:pt>
                <c:pt idx="73">
                  <c:v>0</c:v>
                </c:pt>
                <c:pt idx="74">
                  <c:v>0</c:v>
                </c:pt>
                <c:pt idx="75">
                  <c:v>0</c:v>
                </c:pt>
              </c:numCache>
            </c:numRef>
          </c:val>
          <c:smooth val="0"/>
          <c:extLst>
            <c:ext xmlns:c16="http://schemas.microsoft.com/office/drawing/2014/chart" uri="{C3380CC4-5D6E-409C-BE32-E72D297353CC}">
              <c16:uniqueId val="{00000000-B8CE-4A9F-A6D7-EBEFB43B0A70}"/>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5"/>
        <c:tickMarkSkip val="5"/>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Sanierung</a:t>
            </a:r>
            <a:endParaRPr lang="de-DE"/>
          </a:p>
        </c:rich>
      </c:tx>
      <c:overlay val="0"/>
    </c:title>
    <c:autoTitleDeleted val="0"/>
    <c:plotArea>
      <c:layout/>
      <c:lineChart>
        <c:grouping val="standard"/>
        <c:varyColors val="0"/>
        <c:ser>
          <c:idx val="0"/>
          <c:order val="0"/>
          <c:tx>
            <c:strRef>
              <c:f>'B2 Graphik'!$X$75:$Y$75</c:f>
              <c:strCache>
                <c:ptCount val="1"/>
                <c:pt idx="0">
                  <c:v>Em. CO2-Äquivalente</c:v>
                </c:pt>
              </c:strCache>
            </c:strRef>
          </c:tx>
          <c:spPr>
            <a:prstGeom prst="rect">
              <a:avLst/>
            </a:prstGeom>
            <a:ln w="22225">
              <a:solidFill>
                <a:schemeClr val="accent2"/>
              </a:solidFill>
            </a:ln>
          </c:spPr>
          <c:marker>
            <c:symbol val="none"/>
          </c:marker>
          <c:cat>
            <c:numRef>
              <c:f>'B2 Graphik'!$X$77:$X$102</c:f>
              <c:numCache>
                <c:formatCode>0</c:formatCode>
                <c:ptCount val="2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numCache>
            </c:numRef>
          </c:cat>
          <c:val>
            <c:numRef>
              <c:f>'B2 Graphik'!$Y$77:$Y$102</c:f>
              <c:numCache>
                <c:formatCode>0</c:formatCode>
                <c:ptCount val="26"/>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112.5</c:v>
                </c:pt>
                <c:pt idx="17">
                  <c:v>90</c:v>
                </c:pt>
                <c:pt idx="18">
                  <c:v>67.5</c:v>
                </c:pt>
                <c:pt idx="19">
                  <c:v>45</c:v>
                </c:pt>
                <c:pt idx="20">
                  <c:v>22.5</c:v>
                </c:pt>
                <c:pt idx="21">
                  <c:v>0</c:v>
                </c:pt>
                <c:pt idx="22">
                  <c:v>0</c:v>
                </c:pt>
                <c:pt idx="23">
                  <c:v>0</c:v>
                </c:pt>
                <c:pt idx="24">
                  <c:v>0</c:v>
                </c:pt>
                <c:pt idx="25">
                  <c:v>0</c:v>
                </c:pt>
              </c:numCache>
            </c:numRef>
          </c:val>
          <c:smooth val="0"/>
          <c:extLst>
            <c:ext xmlns:c16="http://schemas.microsoft.com/office/drawing/2014/chart" uri="{C3380CC4-5D6E-409C-BE32-E72D297353CC}">
              <c16:uniqueId val="{00000000-F02A-4297-8D9E-E6204DFC0A90}"/>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0"/>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Nutzungenergiebedarf Heizung Q</a:t>
            </a:r>
            <a:r>
              <a:rPr lang="de-DE" sz="1800" b="1" i="0" u="none" strike="noStrike" baseline="-25000">
                <a:effectLst/>
                <a:latin typeface="Arial" panose="020B0604020202020204" pitchFamily="34" charset="0"/>
                <a:cs typeface="Arial" panose="020B0604020202020204" pitchFamily="34" charset="0"/>
              </a:rPr>
              <a:t>h,b </a:t>
            </a:r>
            <a:r>
              <a:rPr lang="en-US">
                <a:latin typeface="Arial"/>
                <a:cs typeface="Arial"/>
              </a:rPr>
              <a:t>Sanierung</a:t>
            </a:r>
            <a:endParaRPr lang="en-US"/>
          </a:p>
        </c:rich>
      </c:tx>
      <c:layout>
        <c:manualLayout>
          <c:xMode val="edge"/>
          <c:yMode val="edge"/>
          <c:x val="0.18629797027294834"/>
          <c:y val="4.4076025938914791E-2"/>
        </c:manualLayout>
      </c:layout>
      <c:overlay val="0"/>
    </c:title>
    <c:autoTitleDeleted val="0"/>
    <c:plotArea>
      <c:layout>
        <c:manualLayout>
          <c:layoutTarget val="inner"/>
          <c:xMode val="edge"/>
          <c:yMode val="edge"/>
          <c:x val="7.5054581489321662E-2"/>
          <c:y val="0.19748400386405446"/>
          <c:w val="0.72979366301314308"/>
          <c:h val="0.57725152496372834"/>
        </c:manualLayout>
      </c:layout>
      <c:lineChart>
        <c:grouping val="standard"/>
        <c:varyColors val="0"/>
        <c:ser>
          <c:idx val="1"/>
          <c:order val="0"/>
          <c:tx>
            <c:strRef>
              <c:f>'B2 Graphik'!$O$75:$P$75</c:f>
              <c:strCache>
                <c:ptCount val="1"/>
                <c:pt idx="0">
                  <c:v>Nutzenergiebedarf Heizung</c:v>
                </c:pt>
              </c:strCache>
            </c:strRef>
          </c:tx>
          <c:spPr>
            <a:ln w="22225"/>
          </c:spPr>
          <c:marker>
            <c:symbol val="none"/>
          </c:marker>
          <c:cat>
            <c:numRef>
              <c:f>'B2 Graphik'!$O$77:$O$122</c:f>
              <c:numCache>
                <c:formatCode>0</c:formatCode>
                <c:ptCount val="4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numCache>
            </c:numRef>
          </c:cat>
          <c:val>
            <c:numRef>
              <c:f>'B2 Graphik'!$P$77:$P$122</c:f>
              <c:numCache>
                <c:formatCode>0</c:formatCode>
                <c:ptCount val="4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48.148148148148145</c:v>
                </c:pt>
                <c:pt idx="17">
                  <c:v>46.296296296296298</c:v>
                </c:pt>
                <c:pt idx="18">
                  <c:v>44.444444444444443</c:v>
                </c:pt>
                <c:pt idx="19">
                  <c:v>42.592592592592595</c:v>
                </c:pt>
                <c:pt idx="20">
                  <c:v>40.74074074074074</c:v>
                </c:pt>
                <c:pt idx="21">
                  <c:v>38.888888888888886</c:v>
                </c:pt>
                <c:pt idx="22">
                  <c:v>37.037037037037038</c:v>
                </c:pt>
                <c:pt idx="23">
                  <c:v>35.185185185185183</c:v>
                </c:pt>
                <c:pt idx="24">
                  <c:v>33.333333333333336</c:v>
                </c:pt>
                <c:pt idx="25">
                  <c:v>31.481481481481481</c:v>
                </c:pt>
                <c:pt idx="26">
                  <c:v>29.62962962962963</c:v>
                </c:pt>
                <c:pt idx="27">
                  <c:v>27.777777777777779</c:v>
                </c:pt>
                <c:pt idx="28">
                  <c:v>25.925925925925927</c:v>
                </c:pt>
                <c:pt idx="29">
                  <c:v>24.074074074074073</c:v>
                </c:pt>
                <c:pt idx="30">
                  <c:v>22.222222222222221</c:v>
                </c:pt>
                <c:pt idx="31">
                  <c:v>20.37037037037037</c:v>
                </c:pt>
                <c:pt idx="32">
                  <c:v>18.518518518518519</c:v>
                </c:pt>
                <c:pt idx="33">
                  <c:v>16.666666666666668</c:v>
                </c:pt>
                <c:pt idx="34">
                  <c:v>14.814814814814815</c:v>
                </c:pt>
                <c:pt idx="35">
                  <c:v>12.962962962962964</c:v>
                </c:pt>
                <c:pt idx="36">
                  <c:v>11.111111111111111</c:v>
                </c:pt>
                <c:pt idx="37">
                  <c:v>9.2592592592592595</c:v>
                </c:pt>
                <c:pt idx="38">
                  <c:v>7.4074074074074074</c:v>
                </c:pt>
                <c:pt idx="39">
                  <c:v>5.5555555555555554</c:v>
                </c:pt>
                <c:pt idx="40">
                  <c:v>3.7037037037037037</c:v>
                </c:pt>
                <c:pt idx="41">
                  <c:v>1.8518518518518519</c:v>
                </c:pt>
                <c:pt idx="42">
                  <c:v>0</c:v>
                </c:pt>
                <c:pt idx="43">
                  <c:v>0</c:v>
                </c:pt>
                <c:pt idx="44">
                  <c:v>0</c:v>
                </c:pt>
                <c:pt idx="45">
                  <c:v>0</c:v>
                </c:pt>
              </c:numCache>
            </c:numRef>
          </c:val>
          <c:smooth val="0"/>
          <c:extLst>
            <c:ext xmlns:c16="http://schemas.microsoft.com/office/drawing/2014/chart" uri="{C3380CC4-5D6E-409C-BE32-E72D297353CC}">
              <c16:uniqueId val="{00000001-A484-48F5-BA57-B201204EA829}"/>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0"/>
        <c:majorTickMark val="out"/>
        <c:minorTickMark val="none"/>
        <c:tickLblPos val="nextTo"/>
        <c:spPr>
          <a:ln/>
        </c:spPr>
        <c:txPr>
          <a:bodyPr rot="0" vert="horz"/>
          <a:lstStyle/>
          <a:p>
            <a:pPr>
              <a:defRPr/>
            </a:pPr>
            <a:endParaRPr lang="de-DE"/>
          </a:p>
        </c:txPr>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Kühlung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Sanierung</a:t>
            </a:r>
            <a:endParaRPr lang="en-US">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'B2 Graphik'!$R$75:$S$75</c:f>
              <c:strCache>
                <c:ptCount val="1"/>
                <c:pt idx="0">
                  <c:v>Nutzenergiebedarf Kühlung</c:v>
                </c:pt>
              </c:strCache>
            </c:strRef>
          </c:tx>
          <c:spPr>
            <a:ln w="22225"/>
          </c:spPr>
          <c:marker>
            <c:symbol val="none"/>
          </c:marker>
          <c:cat>
            <c:numRef>
              <c:f>'B2 Graphik'!$R$77:$R$120</c:f>
              <c:numCache>
                <c:formatCode>0</c:formatCode>
                <c:ptCount val="44"/>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numCache>
            </c:numRef>
          </c:cat>
          <c:val>
            <c:numRef>
              <c:f>'B2 Graphik'!$S$77:$S$120</c:f>
              <c:numCache>
                <c:formatCode>0</c:formatCode>
                <c:ptCount val="44"/>
                <c:pt idx="0">
                  <c:v>45</c:v>
                </c:pt>
                <c:pt idx="1">
                  <c:v>45</c:v>
                </c:pt>
                <c:pt idx="2">
                  <c:v>45</c:v>
                </c:pt>
                <c:pt idx="3">
                  <c:v>45</c:v>
                </c:pt>
                <c:pt idx="4">
                  <c:v>45</c:v>
                </c:pt>
                <c:pt idx="5">
                  <c:v>45</c:v>
                </c:pt>
                <c:pt idx="6">
                  <c:v>45</c:v>
                </c:pt>
                <c:pt idx="7">
                  <c:v>45</c:v>
                </c:pt>
                <c:pt idx="8">
                  <c:v>45</c:v>
                </c:pt>
                <c:pt idx="9">
                  <c:v>45</c:v>
                </c:pt>
                <c:pt idx="10">
                  <c:v>45</c:v>
                </c:pt>
                <c:pt idx="11">
                  <c:v>45</c:v>
                </c:pt>
                <c:pt idx="12">
                  <c:v>45</c:v>
                </c:pt>
                <c:pt idx="13">
                  <c:v>45</c:v>
                </c:pt>
                <c:pt idx="14">
                  <c:v>45</c:v>
                </c:pt>
                <c:pt idx="15">
                  <c:v>45</c:v>
                </c:pt>
                <c:pt idx="16">
                  <c:v>43.333333333333336</c:v>
                </c:pt>
                <c:pt idx="17">
                  <c:v>41.666666666666671</c:v>
                </c:pt>
                <c:pt idx="18">
                  <c:v>40</c:v>
                </c:pt>
                <c:pt idx="19">
                  <c:v>38.333333333333336</c:v>
                </c:pt>
                <c:pt idx="20">
                  <c:v>36.666666666666671</c:v>
                </c:pt>
                <c:pt idx="21">
                  <c:v>35</c:v>
                </c:pt>
                <c:pt idx="22">
                  <c:v>33.333333333333336</c:v>
                </c:pt>
                <c:pt idx="23">
                  <c:v>31.666666666666668</c:v>
                </c:pt>
                <c:pt idx="24">
                  <c:v>30</c:v>
                </c:pt>
                <c:pt idx="25">
                  <c:v>28.333333333333336</c:v>
                </c:pt>
                <c:pt idx="26">
                  <c:v>26.666666666666668</c:v>
                </c:pt>
                <c:pt idx="27">
                  <c:v>25</c:v>
                </c:pt>
                <c:pt idx="28">
                  <c:v>23.333333333333336</c:v>
                </c:pt>
                <c:pt idx="29">
                  <c:v>21.666666666666668</c:v>
                </c:pt>
                <c:pt idx="30">
                  <c:v>20</c:v>
                </c:pt>
                <c:pt idx="31">
                  <c:v>18.333333333333336</c:v>
                </c:pt>
                <c:pt idx="32">
                  <c:v>16.666666666666668</c:v>
                </c:pt>
                <c:pt idx="33">
                  <c:v>15</c:v>
                </c:pt>
                <c:pt idx="34">
                  <c:v>13.333333333333334</c:v>
                </c:pt>
                <c:pt idx="35">
                  <c:v>11.666666666666668</c:v>
                </c:pt>
                <c:pt idx="36">
                  <c:v>10</c:v>
                </c:pt>
                <c:pt idx="37">
                  <c:v>8.3333333333333339</c:v>
                </c:pt>
                <c:pt idx="38">
                  <c:v>6.666666666666667</c:v>
                </c:pt>
                <c:pt idx="39">
                  <c:v>5</c:v>
                </c:pt>
                <c:pt idx="40">
                  <c:v>3.3333333333333335</c:v>
                </c:pt>
                <c:pt idx="41">
                  <c:v>1.6666666666666667</c:v>
                </c:pt>
                <c:pt idx="42">
                  <c:v>0</c:v>
                </c:pt>
                <c:pt idx="43">
                  <c:v>0</c:v>
                </c:pt>
              </c:numCache>
            </c:numRef>
          </c:val>
          <c:smooth val="0"/>
          <c:extLst>
            <c:ext xmlns:c16="http://schemas.microsoft.com/office/drawing/2014/chart" uri="{C3380CC4-5D6E-409C-BE32-E72D297353CC}">
              <c16:uniqueId val="{00000000-06ED-41C5-AC6F-B81D16E9E065}"/>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At val="0"/>
        <c:auto val="1"/>
        <c:lblAlgn val="ctr"/>
        <c:lblOffset val="100"/>
        <c:tickLblSkip val="3"/>
        <c:tickMarkSkip val="3"/>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manualLayout>
          <c:layoutTarget val="inner"/>
          <c:xMode val="edge"/>
          <c:yMode val="edge"/>
          <c:x val="8.6983129122217645E-2"/>
          <c:y val="0.19871198002115092"/>
          <c:w val="0.73320239555468769"/>
          <c:h val="0.58284001005487041"/>
        </c:manualLayout>
      </c:layout>
      <c:lineChart>
        <c:grouping val="standard"/>
        <c:varyColors val="0"/>
        <c:ser>
          <c:idx val="0"/>
          <c:order val="0"/>
          <c:tx>
            <c:strRef>
              <c:f>'B1 Graphik'!$L$74:$M$74</c:f>
              <c:strCache>
                <c:ptCount val="1"/>
                <c:pt idx="0">
                  <c:v>CO2-Äquivalente</c:v>
                </c:pt>
              </c:strCache>
            </c:strRef>
          </c:tx>
          <c:spPr>
            <a:prstGeom prst="rect">
              <a:avLst/>
            </a:prstGeom>
            <a:ln w="28575">
              <a:solidFill>
                <a:schemeClr val="tx1"/>
              </a:solidFill>
            </a:ln>
          </c:spPr>
          <c:marker>
            <c:symbol val="none"/>
          </c:marker>
          <c:cat>
            <c:numRef>
              <c:f>'B1 Graphik'!$L$76:$L$176</c:f>
              <c:numCache>
                <c:formatCode>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Graphik'!$M$76:$M$176</c:f>
              <c:numCache>
                <c:formatCode>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128.25</c:v>
                </c:pt>
                <c:pt idx="52">
                  <c:v>121.5</c:v>
                </c:pt>
                <c:pt idx="53">
                  <c:v>114.75</c:v>
                </c:pt>
                <c:pt idx="54">
                  <c:v>108</c:v>
                </c:pt>
                <c:pt idx="55">
                  <c:v>101.25</c:v>
                </c:pt>
                <c:pt idx="56">
                  <c:v>94.5</c:v>
                </c:pt>
                <c:pt idx="57">
                  <c:v>87.75</c:v>
                </c:pt>
                <c:pt idx="58">
                  <c:v>81</c:v>
                </c:pt>
                <c:pt idx="59">
                  <c:v>74.25</c:v>
                </c:pt>
                <c:pt idx="60">
                  <c:v>67.5</c:v>
                </c:pt>
                <c:pt idx="61">
                  <c:v>60.75</c:v>
                </c:pt>
                <c:pt idx="62">
                  <c:v>54</c:v>
                </c:pt>
                <c:pt idx="63">
                  <c:v>47.25</c:v>
                </c:pt>
                <c:pt idx="64">
                  <c:v>40.5</c:v>
                </c:pt>
                <c:pt idx="65">
                  <c:v>33.75</c:v>
                </c:pt>
                <c:pt idx="66">
                  <c:v>27</c:v>
                </c:pt>
                <c:pt idx="67">
                  <c:v>20.25</c:v>
                </c:pt>
                <c:pt idx="68">
                  <c:v>13.5</c:v>
                </c:pt>
                <c:pt idx="69">
                  <c:v>6.75</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536-4CBE-987A-5E07728AB935}"/>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 Graphik'!$C$74:$D$74</c:f>
              <c:strCache>
                <c:ptCount val="1"/>
                <c:pt idx="0">
                  <c:v>Heizwärmebedarf</c:v>
                </c:pt>
              </c:strCache>
            </c:strRef>
          </c:tx>
          <c:spPr>
            <a:ln w="28575">
              <a:solidFill>
                <a:srgbClr val="C00000"/>
              </a:solidFill>
            </a:ln>
          </c:spPr>
          <c:marker>
            <c:symbol val="none"/>
          </c:marker>
          <c:cat>
            <c:numRef>
              <c:f>'B1 Graphik'!$C$76:$C$102</c:f>
              <c:numCache>
                <c:formatCode>0.0</c:formatCode>
                <c:ptCount val="27"/>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numCache>
            </c:numRef>
          </c:cat>
          <c:val>
            <c:numRef>
              <c:f>'B1 Graphik'!$D$76:$D$102</c:f>
              <c:numCache>
                <c:formatCode>0.0</c:formatCode>
                <c:ptCount val="27"/>
                <c:pt idx="0">
                  <c:v>50</c:v>
                </c:pt>
                <c:pt idx="1">
                  <c:v>50</c:v>
                </c:pt>
                <c:pt idx="2">
                  <c:v>50</c:v>
                </c:pt>
                <c:pt idx="3">
                  <c:v>50</c:v>
                </c:pt>
                <c:pt idx="4">
                  <c:v>50</c:v>
                </c:pt>
                <c:pt idx="5">
                  <c:v>50</c:v>
                </c:pt>
                <c:pt idx="6">
                  <c:v>50</c:v>
                </c:pt>
                <c:pt idx="7">
                  <c:v>45.833333333333336</c:v>
                </c:pt>
                <c:pt idx="8">
                  <c:v>41.666666666666671</c:v>
                </c:pt>
                <c:pt idx="9">
                  <c:v>37.5</c:v>
                </c:pt>
                <c:pt idx="10">
                  <c:v>33.333333333333336</c:v>
                </c:pt>
                <c:pt idx="11">
                  <c:v>29.166666666666668</c:v>
                </c:pt>
                <c:pt idx="12">
                  <c:v>25</c:v>
                </c:pt>
                <c:pt idx="13">
                  <c:v>20.833333333333336</c:v>
                </c:pt>
                <c:pt idx="14">
                  <c:v>16.666666666666668</c:v>
                </c:pt>
                <c:pt idx="15">
                  <c:v>12.5</c:v>
                </c:pt>
                <c:pt idx="16">
                  <c:v>8.3333333333333339</c:v>
                </c:pt>
                <c:pt idx="17">
                  <c:v>4.166666666666667</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B11-4515-A282-977EDEC9798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txPr>
          <a:bodyPr rot="0" vert="horz"/>
          <a:lstStyle/>
          <a:p>
            <a:pPr>
              <a:defRPr/>
            </a:pPr>
            <a:endParaRPr lang="de-DE"/>
          </a:p>
        </c:txPr>
        <c:crossAx val="103366304"/>
        <c:crosses val="autoZero"/>
        <c:auto val="1"/>
        <c:lblAlgn val="ctr"/>
        <c:lblOffset val="100"/>
        <c:tickLblSkip val="2"/>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 Graphik'!$F$74:$G$74</c:f>
              <c:strCache>
                <c:ptCount val="1"/>
                <c:pt idx="0">
                  <c:v>Kühlbedarf</c:v>
                </c:pt>
              </c:strCache>
            </c:strRef>
          </c:tx>
          <c:marker>
            <c:symbol val="none"/>
          </c:marker>
          <c:cat>
            <c:numRef>
              <c:f>'B1 Graphik'!$F$76:$F$100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Graphik'!$G$76:$G$100</c:f>
              <c:numCache>
                <c:formatCode>0.0</c:formatCode>
                <c:ptCount val="25"/>
                <c:pt idx="0">
                  <c:v>45</c:v>
                </c:pt>
                <c:pt idx="1">
                  <c:v>40.5</c:v>
                </c:pt>
                <c:pt idx="2">
                  <c:v>36</c:v>
                </c:pt>
                <c:pt idx="3">
                  <c:v>31.5</c:v>
                </c:pt>
                <c:pt idx="4">
                  <c:v>27</c:v>
                </c:pt>
                <c:pt idx="5">
                  <c:v>22.5</c:v>
                </c:pt>
                <c:pt idx="6">
                  <c:v>18</c:v>
                </c:pt>
                <c:pt idx="7">
                  <c:v>13.5</c:v>
                </c:pt>
                <c:pt idx="8">
                  <c:v>9</c:v>
                </c:pt>
                <c:pt idx="9">
                  <c:v>4.5</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7E93-4BDE-8A8F-437E4D3D974B}"/>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 Sanierung</a:t>
            </a:r>
            <a:endParaRPr lang="de-DE"/>
          </a:p>
        </c:rich>
      </c:tx>
      <c:overlay val="0"/>
    </c:title>
    <c:autoTitleDeleted val="0"/>
    <c:plotArea>
      <c:layout/>
      <c:lineChart>
        <c:grouping val="standard"/>
        <c:varyColors val="0"/>
        <c:ser>
          <c:idx val="0"/>
          <c:order val="0"/>
          <c:tx>
            <c:strRef>
              <c:f>'B1 Graphik'!$W$74:$X$74</c:f>
              <c:strCache>
                <c:ptCount val="1"/>
                <c:pt idx="0">
                  <c:v>Primärenergiebedarf</c:v>
                </c:pt>
              </c:strCache>
            </c:strRef>
          </c:tx>
          <c:spPr>
            <a:ln w="28575">
              <a:solidFill>
                <a:schemeClr val="accent6">
                  <a:lumMod val="75000"/>
                </a:schemeClr>
              </a:solidFill>
            </a:ln>
          </c:spPr>
          <c:marker>
            <c:symbol val="none"/>
          </c:marker>
          <c:cat>
            <c:numRef>
              <c:f>'B1 Graphik'!$W$76:$W$118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Graphik'!$X$76:$X$118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115.71428571428571</c:v>
                </c:pt>
                <c:pt idx="14">
                  <c:v>111.42857142857142</c:v>
                </c:pt>
                <c:pt idx="15">
                  <c:v>107.14285714285714</c:v>
                </c:pt>
                <c:pt idx="16">
                  <c:v>102.85714285714285</c:v>
                </c:pt>
                <c:pt idx="17">
                  <c:v>98.571428571428569</c:v>
                </c:pt>
                <c:pt idx="18">
                  <c:v>94.285714285714278</c:v>
                </c:pt>
                <c:pt idx="19">
                  <c:v>90</c:v>
                </c:pt>
                <c:pt idx="20">
                  <c:v>85.714285714285708</c:v>
                </c:pt>
                <c:pt idx="21">
                  <c:v>81.428571428571431</c:v>
                </c:pt>
                <c:pt idx="22">
                  <c:v>77.142857142857139</c:v>
                </c:pt>
                <c:pt idx="23">
                  <c:v>72.857142857142847</c:v>
                </c:pt>
                <c:pt idx="24">
                  <c:v>68.571428571428569</c:v>
                </c:pt>
                <c:pt idx="25">
                  <c:v>64.285714285714278</c:v>
                </c:pt>
                <c:pt idx="26">
                  <c:v>60</c:v>
                </c:pt>
                <c:pt idx="27">
                  <c:v>55.714285714285708</c:v>
                </c:pt>
                <c:pt idx="28">
                  <c:v>51.428571428571423</c:v>
                </c:pt>
                <c:pt idx="29">
                  <c:v>47.142857142857139</c:v>
                </c:pt>
                <c:pt idx="30">
                  <c:v>42.857142857142854</c:v>
                </c:pt>
                <c:pt idx="31">
                  <c:v>38.571428571428569</c:v>
                </c:pt>
                <c:pt idx="32">
                  <c:v>34.285714285714285</c:v>
                </c:pt>
                <c:pt idx="33">
                  <c:v>30</c:v>
                </c:pt>
                <c:pt idx="34">
                  <c:v>25.714285714285712</c:v>
                </c:pt>
                <c:pt idx="35">
                  <c:v>21.428571428571427</c:v>
                </c:pt>
                <c:pt idx="36">
                  <c:v>17.142857142857142</c:v>
                </c:pt>
                <c:pt idx="37">
                  <c:v>12.857142857142856</c:v>
                </c:pt>
                <c:pt idx="38">
                  <c:v>8.5714285714285712</c:v>
                </c:pt>
                <c:pt idx="39">
                  <c:v>4.2857142857142856</c:v>
                </c:pt>
                <c:pt idx="40">
                  <c:v>0</c:v>
                </c:pt>
                <c:pt idx="41">
                  <c:v>0</c:v>
                </c:pt>
                <c:pt idx="42">
                  <c:v>0</c:v>
                </c:pt>
              </c:numCache>
            </c:numRef>
          </c:val>
          <c:smooth val="0"/>
          <c:extLst>
            <c:ext xmlns:c16="http://schemas.microsoft.com/office/drawing/2014/chart" uri="{C3380CC4-5D6E-409C-BE32-E72D297353CC}">
              <c16:uniqueId val="{00000000-776C-46BF-A65C-4A0FA81D97F8}"/>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Sanierung</a:t>
            </a:r>
            <a:endParaRPr lang="de-DE"/>
          </a:p>
        </c:rich>
      </c:tx>
      <c:overlay val="0"/>
    </c:title>
    <c:autoTitleDeleted val="0"/>
    <c:plotArea>
      <c:layout/>
      <c:lineChart>
        <c:grouping val="standard"/>
        <c:varyColors val="0"/>
        <c:ser>
          <c:idx val="0"/>
          <c:order val="0"/>
          <c:tx>
            <c:strRef>
              <c:f>'B1 Graphik'!$Z$74:$AA$74</c:f>
              <c:strCache>
                <c:ptCount val="1"/>
                <c:pt idx="0">
                  <c:v>CO2-Äquivalente</c:v>
                </c:pt>
              </c:strCache>
            </c:strRef>
          </c:tx>
          <c:spPr>
            <a:ln w="28575">
              <a:solidFill>
                <a:schemeClr val="tx1">
                  <a:lumMod val="95000"/>
                  <a:lumOff val="5000"/>
                </a:schemeClr>
              </a:solidFill>
            </a:ln>
          </c:spPr>
          <c:marker>
            <c:symbol val="none"/>
          </c:marker>
          <c:cat>
            <c:numRef>
              <c:f>'B1 Graphik'!$Z$76:$Z$176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Graphik'!$AA$76:$AA$176</c:f>
              <c:numCache>
                <c:formatCode>0.0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135</c:v>
                </c:pt>
                <c:pt idx="52">
                  <c:v>135</c:v>
                </c:pt>
                <c:pt idx="53">
                  <c:v>135</c:v>
                </c:pt>
                <c:pt idx="54">
                  <c:v>135</c:v>
                </c:pt>
                <c:pt idx="55">
                  <c:v>135</c:v>
                </c:pt>
                <c:pt idx="56">
                  <c:v>135</c:v>
                </c:pt>
                <c:pt idx="57">
                  <c:v>135</c:v>
                </c:pt>
                <c:pt idx="58">
                  <c:v>130.90909090909091</c:v>
                </c:pt>
                <c:pt idx="59">
                  <c:v>126.81818181818181</c:v>
                </c:pt>
                <c:pt idx="60">
                  <c:v>122.72727272727272</c:v>
                </c:pt>
                <c:pt idx="61">
                  <c:v>118.63636363636364</c:v>
                </c:pt>
                <c:pt idx="62">
                  <c:v>114.54545454545455</c:v>
                </c:pt>
                <c:pt idx="63">
                  <c:v>110.45454545454545</c:v>
                </c:pt>
                <c:pt idx="64">
                  <c:v>106.36363636363636</c:v>
                </c:pt>
                <c:pt idx="65">
                  <c:v>102.27272727272727</c:v>
                </c:pt>
                <c:pt idx="66">
                  <c:v>98.181818181818187</c:v>
                </c:pt>
                <c:pt idx="67">
                  <c:v>94.090909090909093</c:v>
                </c:pt>
                <c:pt idx="68">
                  <c:v>90</c:v>
                </c:pt>
                <c:pt idx="69">
                  <c:v>85.909090909090907</c:v>
                </c:pt>
                <c:pt idx="70">
                  <c:v>81.818181818181813</c:v>
                </c:pt>
                <c:pt idx="71">
                  <c:v>77.72727272727272</c:v>
                </c:pt>
                <c:pt idx="72">
                  <c:v>73.63636363636364</c:v>
                </c:pt>
                <c:pt idx="73">
                  <c:v>69.545454545454547</c:v>
                </c:pt>
                <c:pt idx="74">
                  <c:v>65.454545454545453</c:v>
                </c:pt>
                <c:pt idx="75">
                  <c:v>61.36363636363636</c:v>
                </c:pt>
                <c:pt idx="76">
                  <c:v>57.272727272727273</c:v>
                </c:pt>
                <c:pt idx="77">
                  <c:v>53.18181818181818</c:v>
                </c:pt>
                <c:pt idx="78">
                  <c:v>49.090909090909093</c:v>
                </c:pt>
                <c:pt idx="79">
                  <c:v>45</c:v>
                </c:pt>
                <c:pt idx="80">
                  <c:v>40.909090909090907</c:v>
                </c:pt>
                <c:pt idx="81">
                  <c:v>36.81818181818182</c:v>
                </c:pt>
                <c:pt idx="82">
                  <c:v>32.727272727272727</c:v>
                </c:pt>
                <c:pt idx="83">
                  <c:v>28.636363636363637</c:v>
                </c:pt>
                <c:pt idx="84">
                  <c:v>24.545454545454547</c:v>
                </c:pt>
                <c:pt idx="85">
                  <c:v>20.454545454545453</c:v>
                </c:pt>
                <c:pt idx="86">
                  <c:v>16.363636363636363</c:v>
                </c:pt>
                <c:pt idx="87">
                  <c:v>12.272727272727273</c:v>
                </c:pt>
                <c:pt idx="88">
                  <c:v>8.1818181818181817</c:v>
                </c:pt>
                <c:pt idx="89">
                  <c:v>4.0909090909090908</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BB-44E4-A538-56A0C1C7576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 Sanierung</a:t>
            </a:r>
            <a:endParaRPr lang="en-US"/>
          </a:p>
        </c:rich>
      </c:tx>
      <c:overlay val="0"/>
    </c:title>
    <c:autoTitleDeleted val="0"/>
    <c:plotArea>
      <c:layout/>
      <c:lineChart>
        <c:grouping val="standard"/>
        <c:varyColors val="0"/>
        <c:ser>
          <c:idx val="0"/>
          <c:order val="0"/>
          <c:tx>
            <c:strRef>
              <c:f>'B1 Graphik'!$Q$74:$R$74</c:f>
              <c:strCache>
                <c:ptCount val="1"/>
                <c:pt idx="0">
                  <c:v>Heizwärmebedarf</c:v>
                </c:pt>
              </c:strCache>
            </c:strRef>
          </c:tx>
          <c:spPr>
            <a:ln>
              <a:solidFill>
                <a:srgbClr val="C00000"/>
              </a:solidFill>
            </a:ln>
          </c:spPr>
          <c:marker>
            <c:symbol val="none"/>
          </c:marker>
          <c:cat>
            <c:numRef>
              <c:f>'B1 Graphik'!$Q$76:$Q$141</c:f>
              <c:numCache>
                <c:formatCode>0.0</c:formatCode>
                <c:ptCount val="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numCache>
            </c:numRef>
          </c:cat>
          <c:val>
            <c:numRef>
              <c:f>'B1 Graphik'!$R$76:$R$141</c:f>
              <c:numCache>
                <c:formatCode>0.0</c:formatCode>
                <c:ptCount val="6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50</c:v>
                </c:pt>
                <c:pt idx="17">
                  <c:v>50</c:v>
                </c:pt>
                <c:pt idx="18">
                  <c:v>50</c:v>
                </c:pt>
                <c:pt idx="19">
                  <c:v>50</c:v>
                </c:pt>
                <c:pt idx="20">
                  <c:v>50</c:v>
                </c:pt>
                <c:pt idx="21">
                  <c:v>50</c:v>
                </c:pt>
                <c:pt idx="22">
                  <c:v>50</c:v>
                </c:pt>
                <c:pt idx="23">
                  <c:v>50</c:v>
                </c:pt>
                <c:pt idx="24">
                  <c:v>50</c:v>
                </c:pt>
                <c:pt idx="25">
                  <c:v>50</c:v>
                </c:pt>
                <c:pt idx="26">
                  <c:v>48.484848484848484</c:v>
                </c:pt>
                <c:pt idx="27">
                  <c:v>46.969696969696969</c:v>
                </c:pt>
                <c:pt idx="28">
                  <c:v>45.454545454545453</c:v>
                </c:pt>
                <c:pt idx="29">
                  <c:v>43.939393939393938</c:v>
                </c:pt>
                <c:pt idx="30">
                  <c:v>42.424242424242422</c:v>
                </c:pt>
                <c:pt idx="31">
                  <c:v>40.909090909090907</c:v>
                </c:pt>
                <c:pt idx="32">
                  <c:v>39.393939393939391</c:v>
                </c:pt>
                <c:pt idx="33">
                  <c:v>37.878787878787875</c:v>
                </c:pt>
                <c:pt idx="34">
                  <c:v>36.36363636363636</c:v>
                </c:pt>
                <c:pt idx="35">
                  <c:v>34.848484848484851</c:v>
                </c:pt>
                <c:pt idx="36">
                  <c:v>33.333333333333336</c:v>
                </c:pt>
                <c:pt idx="37">
                  <c:v>31.818181818181817</c:v>
                </c:pt>
                <c:pt idx="38">
                  <c:v>30.303030303030305</c:v>
                </c:pt>
                <c:pt idx="39">
                  <c:v>28.787878787878789</c:v>
                </c:pt>
                <c:pt idx="40">
                  <c:v>27.272727272727273</c:v>
                </c:pt>
                <c:pt idx="41">
                  <c:v>25.757575757575758</c:v>
                </c:pt>
                <c:pt idx="42">
                  <c:v>24.242424242424242</c:v>
                </c:pt>
                <c:pt idx="43">
                  <c:v>22.727272727272727</c:v>
                </c:pt>
                <c:pt idx="44">
                  <c:v>21.212121212121211</c:v>
                </c:pt>
                <c:pt idx="45">
                  <c:v>19.696969696969695</c:v>
                </c:pt>
                <c:pt idx="46">
                  <c:v>18.18181818181818</c:v>
                </c:pt>
                <c:pt idx="47">
                  <c:v>16.666666666666668</c:v>
                </c:pt>
                <c:pt idx="48">
                  <c:v>15.151515151515152</c:v>
                </c:pt>
                <c:pt idx="49">
                  <c:v>13.636363636363637</c:v>
                </c:pt>
                <c:pt idx="50">
                  <c:v>12.121212121212121</c:v>
                </c:pt>
                <c:pt idx="51">
                  <c:v>10.606060606060606</c:v>
                </c:pt>
                <c:pt idx="52">
                  <c:v>9.0909090909090899</c:v>
                </c:pt>
                <c:pt idx="53">
                  <c:v>7.5757575757575761</c:v>
                </c:pt>
                <c:pt idx="54">
                  <c:v>6.0606060606060606</c:v>
                </c:pt>
                <c:pt idx="55">
                  <c:v>4.545454545454545</c:v>
                </c:pt>
                <c:pt idx="56">
                  <c:v>3.0303030303030303</c:v>
                </c:pt>
                <c:pt idx="57">
                  <c:v>1.5151515151515151</c:v>
                </c:pt>
                <c:pt idx="58">
                  <c:v>0</c:v>
                </c:pt>
                <c:pt idx="59">
                  <c:v>0</c:v>
                </c:pt>
                <c:pt idx="60">
                  <c:v>0</c:v>
                </c:pt>
                <c:pt idx="61">
                  <c:v>0</c:v>
                </c:pt>
                <c:pt idx="62">
                  <c:v>0</c:v>
                </c:pt>
                <c:pt idx="63">
                  <c:v>0</c:v>
                </c:pt>
                <c:pt idx="64">
                  <c:v>0</c:v>
                </c:pt>
                <c:pt idx="65">
                  <c:v>0</c:v>
                </c:pt>
              </c:numCache>
            </c:numRef>
          </c:val>
          <c:smooth val="0"/>
          <c:extLst>
            <c:ext xmlns:c16="http://schemas.microsoft.com/office/drawing/2014/chart" uri="{C3380CC4-5D6E-409C-BE32-E72D297353CC}">
              <c16:uniqueId val="{00000000-1CB6-407C-8127-C97661C5D57D}"/>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 Sanierung</a:t>
            </a:r>
            <a:endParaRPr lang="en-US"/>
          </a:p>
        </c:rich>
      </c:tx>
      <c:overlay val="0"/>
    </c:title>
    <c:autoTitleDeleted val="0"/>
    <c:plotArea>
      <c:layout/>
      <c:lineChart>
        <c:grouping val="standard"/>
        <c:varyColors val="0"/>
        <c:ser>
          <c:idx val="0"/>
          <c:order val="0"/>
          <c:tx>
            <c:strRef>
              <c:f>'B1 Graphik'!$T$74:$U$74</c:f>
              <c:strCache>
                <c:ptCount val="1"/>
                <c:pt idx="0">
                  <c:v>Kühlbedarf</c:v>
                </c:pt>
              </c:strCache>
            </c:strRef>
          </c:tx>
          <c:marker>
            <c:symbol val="none"/>
          </c:marker>
          <c:cat>
            <c:numRef>
              <c:f>'B1 Graphik'!$T$76:$T$100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Graphik'!$U$76:$U$100</c:f>
              <c:numCache>
                <c:formatCode>0.0</c:formatCode>
                <c:ptCount val="25"/>
                <c:pt idx="0">
                  <c:v>45</c:v>
                </c:pt>
                <c:pt idx="1">
                  <c:v>45</c:v>
                </c:pt>
                <c:pt idx="2">
                  <c:v>45</c:v>
                </c:pt>
                <c:pt idx="3">
                  <c:v>45</c:v>
                </c:pt>
                <c:pt idx="4">
                  <c:v>45</c:v>
                </c:pt>
                <c:pt idx="5">
                  <c:v>42.1875</c:v>
                </c:pt>
                <c:pt idx="6">
                  <c:v>39.375</c:v>
                </c:pt>
                <c:pt idx="7">
                  <c:v>36.5625</c:v>
                </c:pt>
                <c:pt idx="8">
                  <c:v>33.75</c:v>
                </c:pt>
                <c:pt idx="9">
                  <c:v>30.9375</c:v>
                </c:pt>
                <c:pt idx="10">
                  <c:v>28.125</c:v>
                </c:pt>
                <c:pt idx="11">
                  <c:v>25.3125</c:v>
                </c:pt>
                <c:pt idx="12">
                  <c:v>22.5</c:v>
                </c:pt>
                <c:pt idx="13">
                  <c:v>19.6875</c:v>
                </c:pt>
                <c:pt idx="14">
                  <c:v>16.875</c:v>
                </c:pt>
                <c:pt idx="15">
                  <c:v>14.0625</c:v>
                </c:pt>
                <c:pt idx="16">
                  <c:v>11.25</c:v>
                </c:pt>
                <c:pt idx="17">
                  <c:v>8.4375</c:v>
                </c:pt>
                <c:pt idx="18">
                  <c:v>5.625</c:v>
                </c:pt>
                <c:pt idx="19">
                  <c:v>2.8125</c:v>
                </c:pt>
                <c:pt idx="20">
                  <c:v>0</c:v>
                </c:pt>
                <c:pt idx="21">
                  <c:v>0</c:v>
                </c:pt>
                <c:pt idx="22">
                  <c:v>0</c:v>
                </c:pt>
                <c:pt idx="23">
                  <c:v>0</c:v>
                </c:pt>
                <c:pt idx="24">
                  <c:v>0</c:v>
                </c:pt>
              </c:numCache>
            </c:numRef>
          </c:val>
          <c:smooth val="0"/>
          <c:extLst>
            <c:ext xmlns:c16="http://schemas.microsoft.com/office/drawing/2014/chart" uri="{C3380CC4-5D6E-409C-BE32-E72D297353CC}">
              <c16:uniqueId val="{00000000-FB81-4AC5-916B-DD047AEE3F44}"/>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'B2 Graphik'!$H$75:$I$75</c:f>
              <c:strCache>
                <c:ptCount val="1"/>
                <c:pt idx="0">
                  <c:v>Primärenergiebedarf</c:v>
                </c:pt>
              </c:strCache>
            </c:strRef>
          </c:tx>
          <c:spPr>
            <a:prstGeom prst="rect">
              <a:avLst/>
            </a:prstGeom>
            <a:ln w="22225">
              <a:solidFill>
                <a:schemeClr val="accent2"/>
              </a:solidFill>
            </a:ln>
          </c:spPr>
          <c:marker>
            <c:symbol val="none"/>
          </c:marker>
          <c:cat>
            <c:numRef>
              <c:f>'B2 Graphik'!$H$77:$H$107</c:f>
              <c:numCache>
                <c:formatCode>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'B2 Graphik'!$I$77:$I$107</c:f>
              <c:numCache>
                <c:formatCode>0</c:formatCode>
                <c:ptCount val="31"/>
                <c:pt idx="0">
                  <c:v>120</c:v>
                </c:pt>
                <c:pt idx="1">
                  <c:v>120</c:v>
                </c:pt>
                <c:pt idx="2">
                  <c:v>120</c:v>
                </c:pt>
                <c:pt idx="3">
                  <c:v>120</c:v>
                </c:pt>
                <c:pt idx="4">
                  <c:v>120</c:v>
                </c:pt>
                <c:pt idx="5">
                  <c:v>120</c:v>
                </c:pt>
                <c:pt idx="6">
                  <c:v>120</c:v>
                </c:pt>
                <c:pt idx="7">
                  <c:v>113.33333333333333</c:v>
                </c:pt>
                <c:pt idx="8">
                  <c:v>106.66666666666666</c:v>
                </c:pt>
                <c:pt idx="9">
                  <c:v>100</c:v>
                </c:pt>
                <c:pt idx="10">
                  <c:v>93.333333333333329</c:v>
                </c:pt>
                <c:pt idx="11">
                  <c:v>86.666666666666657</c:v>
                </c:pt>
                <c:pt idx="12">
                  <c:v>80</c:v>
                </c:pt>
                <c:pt idx="13">
                  <c:v>73.333333333333329</c:v>
                </c:pt>
                <c:pt idx="14">
                  <c:v>66.666666666666657</c:v>
                </c:pt>
                <c:pt idx="15">
                  <c:v>60</c:v>
                </c:pt>
                <c:pt idx="16">
                  <c:v>53.333333333333329</c:v>
                </c:pt>
                <c:pt idx="17">
                  <c:v>46.666666666666664</c:v>
                </c:pt>
                <c:pt idx="18">
                  <c:v>40</c:v>
                </c:pt>
                <c:pt idx="19">
                  <c:v>33.333333333333329</c:v>
                </c:pt>
                <c:pt idx="20">
                  <c:v>26.666666666666664</c:v>
                </c:pt>
                <c:pt idx="21">
                  <c:v>20</c:v>
                </c:pt>
                <c:pt idx="22">
                  <c:v>13.333333333333332</c:v>
                </c:pt>
                <c:pt idx="23">
                  <c:v>6.6666666666666661</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119-4F12-AA90-8EFE4645838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16</xdr:col>
      <xdr:colOff>0</xdr:colOff>
      <xdr:row>0</xdr:row>
      <xdr:rowOff>0</xdr:rowOff>
    </xdr:from>
    <xdr:to>
      <xdr:col>45</xdr:col>
      <xdr:colOff>31146</xdr:colOff>
      <xdr:row>5</xdr:row>
      <xdr:rowOff>67894</xdr:rowOff>
    </xdr:to>
    <xdr:pic>
      <xdr:nvPicPr>
        <xdr:cNvPr id="2" name="Grafik 1">
          <a:extLst>
            <a:ext uri="{FF2B5EF4-FFF2-40B4-BE49-F238E27FC236}">
              <a16:creationId xmlns:a16="http://schemas.microsoft.com/office/drawing/2014/main" id="{9D908A0B-A45A-D26A-D230-C902C0E5F21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966031" y="0"/>
          <a:ext cx="4076096" cy="2797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158118</xdr:colOff>
      <xdr:row>37</xdr:row>
      <xdr:rowOff>137302</xdr:rowOff>
    </xdr:from>
    <xdr:to>
      <xdr:col>12</xdr:col>
      <xdr:colOff>514113</xdr:colOff>
      <xdr:row>53</xdr:row>
      <xdr:rowOff>7517</xdr:rowOff>
    </xdr:to>
    <xdr:graphicFrame macro="">
      <xdr:nvGraphicFramePr>
        <xdr:cNvPr id="2" name="Diagramm 1">
          <a:extLst>
            <a:ext uri="{FF2B5EF4-FFF2-40B4-BE49-F238E27FC236}">
              <a16:creationId xmlns:a16="http://schemas.microsoft.com/office/drawing/2014/main" id="{278E14AF-5984-4CD8-9EE4-6080A2E3C0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139069</xdr:colOff>
      <xdr:row>55</xdr:row>
      <xdr:rowOff>6426</xdr:rowOff>
    </xdr:from>
    <xdr:to>
      <xdr:col>12</xdr:col>
      <xdr:colOff>526474</xdr:colOff>
      <xdr:row>69</xdr:row>
      <xdr:rowOff>162020</xdr:rowOff>
    </xdr:to>
    <xdr:graphicFrame macro="">
      <xdr:nvGraphicFramePr>
        <xdr:cNvPr id="3" name="Diagramm 2">
          <a:extLst>
            <a:ext uri="{FF2B5EF4-FFF2-40B4-BE49-F238E27FC236}">
              <a16:creationId xmlns:a16="http://schemas.microsoft.com/office/drawing/2014/main" id="{A7FC0512-3A60-484D-9BBB-66BBA7A01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132267</xdr:colOff>
      <xdr:row>4</xdr:row>
      <xdr:rowOff>17931</xdr:rowOff>
    </xdr:from>
    <xdr:to>
      <xdr:col>12</xdr:col>
      <xdr:colOff>494992</xdr:colOff>
      <xdr:row>19</xdr:row>
      <xdr:rowOff>59545</xdr:rowOff>
    </xdr:to>
    <xdr:graphicFrame macro="">
      <xdr:nvGraphicFramePr>
        <xdr:cNvPr id="4" name="Diagramm 3">
          <a:extLst>
            <a:ext uri="{FF2B5EF4-FFF2-40B4-BE49-F238E27FC236}">
              <a16:creationId xmlns:a16="http://schemas.microsoft.com/office/drawing/2014/main" id="{568A1E0B-E6BE-4133-88A0-8B3A55884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108392</xdr:colOff>
      <xdr:row>20</xdr:row>
      <xdr:rowOff>135076</xdr:rowOff>
    </xdr:from>
    <xdr:to>
      <xdr:col>12</xdr:col>
      <xdr:colOff>499011</xdr:colOff>
      <xdr:row>35</xdr:row>
      <xdr:rowOff>175874</xdr:rowOff>
    </xdr:to>
    <xdr:graphicFrame macro="">
      <xdr:nvGraphicFramePr>
        <xdr:cNvPr id="5" name="Diagramm 7">
          <a:extLst>
            <a:ext uri="{FF2B5EF4-FFF2-40B4-BE49-F238E27FC236}">
              <a16:creationId xmlns:a16="http://schemas.microsoft.com/office/drawing/2014/main" id="{74CDBFF5-3004-4F1E-B0DD-667D616CE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282810</xdr:colOff>
      <xdr:row>37</xdr:row>
      <xdr:rowOff>137302</xdr:rowOff>
    </xdr:from>
    <xdr:to>
      <xdr:col>26</xdr:col>
      <xdr:colOff>638804</xdr:colOff>
      <xdr:row>53</xdr:row>
      <xdr:rowOff>7517</xdr:rowOff>
    </xdr:to>
    <xdr:graphicFrame macro="">
      <xdr:nvGraphicFramePr>
        <xdr:cNvPr id="6" name="Diagramm 5">
          <a:extLst>
            <a:ext uri="{FF2B5EF4-FFF2-40B4-BE49-F238E27FC236}">
              <a16:creationId xmlns:a16="http://schemas.microsoft.com/office/drawing/2014/main" id="{C78185CA-5FCD-42B6-A379-A80CE622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263761</xdr:colOff>
      <xdr:row>55</xdr:row>
      <xdr:rowOff>6426</xdr:rowOff>
    </xdr:from>
    <xdr:to>
      <xdr:col>26</xdr:col>
      <xdr:colOff>651165</xdr:colOff>
      <xdr:row>69</xdr:row>
      <xdr:rowOff>162020</xdr:rowOff>
    </xdr:to>
    <xdr:graphicFrame macro="">
      <xdr:nvGraphicFramePr>
        <xdr:cNvPr id="7" name="Diagramm 6">
          <a:extLst>
            <a:ext uri="{FF2B5EF4-FFF2-40B4-BE49-F238E27FC236}">
              <a16:creationId xmlns:a16="http://schemas.microsoft.com/office/drawing/2014/main" id="{8CF2EAE0-395C-4DE2-B67B-47A77CE065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256959</xdr:colOff>
      <xdr:row>4</xdr:row>
      <xdr:rowOff>17931</xdr:rowOff>
    </xdr:from>
    <xdr:to>
      <xdr:col>26</xdr:col>
      <xdr:colOff>619683</xdr:colOff>
      <xdr:row>19</xdr:row>
      <xdr:rowOff>59545</xdr:rowOff>
    </xdr:to>
    <xdr:graphicFrame macro="">
      <xdr:nvGraphicFramePr>
        <xdr:cNvPr id="8" name="Diagramm 7">
          <a:extLst>
            <a:ext uri="{FF2B5EF4-FFF2-40B4-BE49-F238E27FC236}">
              <a16:creationId xmlns:a16="http://schemas.microsoft.com/office/drawing/2014/main" id="{82165872-7649-44C8-9A2A-78F868AE1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233084</xdr:colOff>
      <xdr:row>20</xdr:row>
      <xdr:rowOff>135076</xdr:rowOff>
    </xdr:from>
    <xdr:to>
      <xdr:col>26</xdr:col>
      <xdr:colOff>623702</xdr:colOff>
      <xdr:row>35</xdr:row>
      <xdr:rowOff>175874</xdr:rowOff>
    </xdr:to>
    <xdr:graphicFrame macro="">
      <xdr:nvGraphicFramePr>
        <xdr:cNvPr id="9" name="Diagramm 7">
          <a:extLst>
            <a:ext uri="{FF2B5EF4-FFF2-40B4-BE49-F238E27FC236}">
              <a16:creationId xmlns:a16="http://schemas.microsoft.com/office/drawing/2014/main" id="{23AF3B2F-75B5-478D-8810-C2BD0C50E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330652</xdr:colOff>
      <xdr:row>39</xdr:row>
      <xdr:rowOff>35377</xdr:rowOff>
    </xdr:from>
    <xdr:to>
      <xdr:col>12</xdr:col>
      <xdr:colOff>367553</xdr:colOff>
      <xdr:row>54</xdr:row>
      <xdr:rowOff>73477</xdr:rowOff>
    </xdr:to>
    <xdr:graphicFrame macro="">
      <xdr:nvGraphicFramePr>
        <xdr:cNvPr id="4" name="Diagramm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56</xdr:row>
      <xdr:rowOff>70756</xdr:rowOff>
    </xdr:from>
    <xdr:to>
      <xdr:col>12</xdr:col>
      <xdr:colOff>385482</xdr:colOff>
      <xdr:row>71</xdr:row>
      <xdr:rowOff>34016</xdr:rowOff>
    </xdr:to>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5</xdr:row>
      <xdr:rowOff>123824</xdr:rowOff>
    </xdr:from>
    <xdr:to>
      <xdr:col>12</xdr:col>
      <xdr:colOff>349624</xdr:colOff>
      <xdr:row>20</xdr:row>
      <xdr:rowOff>152399</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22</xdr:row>
      <xdr:rowOff>47006</xdr:rowOff>
    </xdr:from>
    <xdr:to>
      <xdr:col>12</xdr:col>
      <xdr:colOff>358589</xdr:colOff>
      <xdr:row>37</xdr:row>
      <xdr:rowOff>75580</xdr:rowOff>
    </xdr:to>
    <xdr:graphicFrame macro="">
      <xdr:nvGraphicFramePr>
        <xdr:cNvPr id="10" name="Diagramm 7">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826572</xdr:colOff>
      <xdr:row>39</xdr:row>
      <xdr:rowOff>143122</xdr:rowOff>
    </xdr:from>
    <xdr:to>
      <xdr:col>23</xdr:col>
      <xdr:colOff>794200</xdr:colOff>
      <xdr:row>55</xdr:row>
      <xdr:rowOff>7051</xdr:rowOff>
    </xdr:to>
    <xdr:graphicFrame macro="">
      <xdr:nvGraphicFramePr>
        <xdr:cNvPr id="12" name="Diagramm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861950</xdr:colOff>
      <xdr:row>56</xdr:row>
      <xdr:rowOff>113187</xdr:rowOff>
    </xdr:from>
    <xdr:to>
      <xdr:col>23</xdr:col>
      <xdr:colOff>866557</xdr:colOff>
      <xdr:row>71</xdr:row>
      <xdr:rowOff>76447</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931347</xdr:colOff>
      <xdr:row>6</xdr:row>
      <xdr:rowOff>82911</xdr:rowOff>
    </xdr:from>
    <xdr:to>
      <xdr:col>23</xdr:col>
      <xdr:colOff>899278</xdr:colOff>
      <xdr:row>21</xdr:row>
      <xdr:rowOff>109971</xdr:rowOff>
    </xdr:to>
    <xdr:graphicFrame macro="">
      <xdr:nvGraphicFramePr>
        <xdr:cNvPr id="14" name="Diagramm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831273</xdr:colOff>
      <xdr:row>22</xdr:row>
      <xdr:rowOff>89437</xdr:rowOff>
    </xdr:from>
    <xdr:to>
      <xdr:col>23</xdr:col>
      <xdr:colOff>839664</xdr:colOff>
      <xdr:row>37</xdr:row>
      <xdr:rowOff>118011</xdr:rowOff>
    </xdr:to>
    <xdr:graphicFrame macro="">
      <xdr:nvGraphicFramePr>
        <xdr:cNvPr id="15" name="Diagramm 7">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11</xdr:col>
      <xdr:colOff>181768</xdr:colOff>
      <xdr:row>0</xdr:row>
      <xdr:rowOff>1</xdr:rowOff>
    </xdr:from>
    <xdr:to>
      <xdr:col>15</xdr:col>
      <xdr:colOff>1362317</xdr:colOff>
      <xdr:row>1</xdr:row>
      <xdr:rowOff>1559719</xdr:rowOff>
    </xdr:to>
    <xdr:pic>
      <xdr:nvPicPr>
        <xdr:cNvPr id="2" name="Grafik 1">
          <a:extLst>
            <a:ext uri="{FF2B5EF4-FFF2-40B4-BE49-F238E27FC236}">
              <a16:creationId xmlns:a16="http://schemas.microsoft.com/office/drawing/2014/main" id="{CBBB4940-535D-3B31-5EDD-84277E970C0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064081" y="1"/>
          <a:ext cx="4315067" cy="17264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ebextensions/_rels/taskpanes.xml.rels><?xml version="1.0" encoding="UTF-8" standalone="yes"?>
<Relationships xmlns="http://schemas.openxmlformats.org/package/2006/relationships"><Relationship Id="rId3" Type="http://schemas.microsoft.com/office/2011/relationships/webextension" Target="webextension3.xml"/><Relationship Id="rId2" Type="http://schemas.microsoft.com/office/2011/relationships/webextension" Target="webextension2.xml"/><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4">
    <wetp:webextensionref xmlns:r="http://schemas.openxmlformats.org/officeDocument/2006/relationships" r:id="rId1"/>
  </wetp:taskpane>
  <wetp:taskpane dockstate="right" visibility="0" width="350" row="5">
    <wetp:webextensionref xmlns:r="http://schemas.openxmlformats.org/officeDocument/2006/relationships" r:id="rId2"/>
  </wetp:taskpane>
  <wetp:taskpane dockstate="right" visibility="0" width="350" row="6">
    <wetp:webextensionref xmlns:r="http://schemas.openxmlformats.org/officeDocument/2006/relationships" r:id="rId3"/>
  </wetp:taskpane>
</wetp:taskpanes>
</file>

<file path=xl/webextensions/webextension1.xml><?xml version="1.0" encoding="utf-8"?>
<we:webextension xmlns:we="http://schemas.microsoft.com/office/webextensions/webextension/2010/11" id="{34E3228B-FACA-4D9F-9019-55ACBEA855AE}">
  <we:reference id="wa200005107" version="1.1.0.0" store="de-DE" storeType="OMEX"/>
  <we:alternateReferences>
    <we:reference id="wa200005107" version="1.1.0.0" store="WA200005107" storeType="OMEX"/>
  </we:alternateReferences>
  <we:properties/>
  <we:bindings/>
  <we:snapshot xmlns:r="http://schemas.openxmlformats.org/officeDocument/2006/relationships"/>
  <we:extLst>
    <a:ext xmlns:a="http://schemas.openxmlformats.org/drawingml/2006/main" uri="{D87F86FE-615C-45B5-9D79-34F1136793EB}">
      <we:containsCustomFunctions/>
    </a:ext>
  </we:extLst>
</we:webextension>
</file>

<file path=xl/webextensions/webextension2.xml><?xml version="1.0" encoding="utf-8"?>
<we:webextension xmlns:we="http://schemas.microsoft.com/office/webextensions/webextension/2010/11" id="{FCB8B81E-5644-4129-B8D5-70EC15CE91F0}">
  <we:reference id="wa200005271" version="2.5.5.0" store="de-DE" storeType="OMEX"/>
  <we:alternateReferences>
    <we:reference id="wa200005271" version="2.5.5.0" store="WA200005271" storeType="OMEX"/>
  </we:alternateReferences>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_xldudf_AI_TABLE</we:customFunctionIds>
        <we:customFunctionIds>_xldudf_AI_FILL</we:customFunctionIds>
        <we:customFunctionIds>_xldudf_AI_LIST</we:customFunctionIds>
        <we:customFunctionIds>_xldudf_AI_ASK</we:customFunctionIds>
        <we:customFunctionIds>_xldudf_AI_FORMAT</we:customFunctionIds>
        <we:customFunctionIds>_xldudf_AI_EXTRACT</we:customFunctionIds>
        <we:customFunctionIds>_xldudf_AI_TRANSLATE</we:customFunctionIds>
        <we:customFunctionIds>_xldudf_AI_CHOICE</we:customFunctionIds>
      </we:customFunctionIdList>
    </a:ext>
  </we:extLst>
</we:webextension>
</file>

<file path=xl/webextensions/webextension3.xml><?xml version="1.0" encoding="utf-8"?>
<we:webextension xmlns:we="http://schemas.microsoft.com/office/webextensions/webextension/2010/11" id="{715FAED6-7966-4C39-9C06-ECAC667E4A50}">
  <we:reference id="wa200005502" version="1.0.0.11" store="de-DE" storeType="OMEX"/>
  <we:alternateReferences>
    <we:reference id="wa200005502" version="1.0.0.11" store="WA200005502" storeType="OMEX"/>
  </we:alternateReferences>
  <we:properties>
    <we:property name="docId" value="&quot;inQN7g15Tvjpa82NJ4tiY&quot;"/>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_xldudf_GPT</we:customFunctionIds>
        <we:customFunctionIds>_xldudf_GPT_LIST</we:customFunctionIds>
        <we:customFunctionIds>_xldudf_GPT_HLIST</we:customFunctionIds>
        <we:customFunctionIds>_xldudf_GPT_CLASSIFY</we:customFunctionIds>
        <we:customFunctionIds>_xldudf_GPT_TRANSLATE</we:customFunctionIds>
        <we:customFunctionIds>_xldudf_GPT_EXTRACT</we:customFunctionIds>
        <we:customFunctionIds>_xldudf_GPT_TAG</we:customFunctionIds>
        <we:customFunctionIds>_xldudf_GPT_CONVERT</we:customFunctionIds>
        <we:customFunctionIds>_xldudf_GPT_FORMAT</we:customFunctionIds>
        <we:customFunctionIds>_xldudf_GPT_SUMMARIZE</we:customFunctionIds>
        <we:customFunctionIds>_xldudf_GPT_TABLE</we:customFunctionIds>
        <we:customFunctionIds>_xldudf_GPT_FILL</we:customFunctionIds>
        <we:customFunctionIds>_xldudf_GPT_SPLIT</we:customFunctionIds>
        <we:customFunctionIds>_xldudf_GPT_HSPLIT</we:customFunctionIds>
        <we:customFunctionIds>_xldudf_GPT_EDIT</we:customFunctionIds>
        <we:customFunctionIds>_xldudf_GPT_MATCH</we:customFunctionIds>
        <we:customFunctionIds>_xldudf_GPT_VISION</we:customFunctionIds>
        <we:customFunctionIds>_xldudf_GPT_WEB</we:customFunctionIds>
      </we:customFunctionIdList>
    </a:ext>
  </we:extLst>
</we:webextension>
</file>

<file path=xl/worksheets/_rels/sheet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8" Type="http://schemas.openxmlformats.org/officeDocument/2006/relationships/hyperlink" Target="https://lnb-info.de/images/LNB_QNG-Download/241016%20LNB_QNG%20Kriterienkatalog.pdf" TargetMode="External"/><Relationship Id="rId13" Type="http://schemas.openxmlformats.org/officeDocument/2006/relationships/hyperlink" Target="https://lnb-info.de/images/LNB_QNG-Download/241016%20LNB_QNG%20Kriterienkatalog.pdf" TargetMode="External"/><Relationship Id="rId18" Type="http://schemas.openxmlformats.org/officeDocument/2006/relationships/hyperlink" Target="https://lnb-info.de/images/LNB_QNG-Download/241016%20LNB_QNG%20Kriterienkatalog.pdf" TargetMode="External"/><Relationship Id="rId3" Type="http://schemas.openxmlformats.org/officeDocument/2006/relationships/hyperlink" Target="https://lnb-info.de/images/LNB_QNG-Download/241016%20LNB_QNG%20Kriterienkatalog.pdf" TargetMode="External"/><Relationship Id="rId21" Type="http://schemas.openxmlformats.org/officeDocument/2006/relationships/hyperlink" Target="https://lnb-info.de/images/LNB_QNG-Download/241016%20LNB_QNG%20Kriterienkatalog.pdf" TargetMode="External"/><Relationship Id="rId7" Type="http://schemas.openxmlformats.org/officeDocument/2006/relationships/hyperlink" Target="https://lnb-info.de/images/LNB_QNG-Download/241016%20LNB_QNG%20Kriterienkatalog.pdf" TargetMode="External"/><Relationship Id="rId12" Type="http://schemas.openxmlformats.org/officeDocument/2006/relationships/hyperlink" Target="https://lnb-info.de/images/LNB_QNG-Download/241016%20LNB_QNG%20Kriterienkatalog.pdf" TargetMode="External"/><Relationship Id="rId17" Type="http://schemas.openxmlformats.org/officeDocument/2006/relationships/hyperlink" Target="https://lnb-info.de/images/LNB_QNG-Download/241016%20LNB_QNG%20Kriterienkatalog.pdf" TargetMode="External"/><Relationship Id="rId2" Type="http://schemas.openxmlformats.org/officeDocument/2006/relationships/hyperlink" Target="https://lnb-info.de/images/LNB_QNG-Download/241016%20LNB_QNG%20Kriterienkatalog.pdf" TargetMode="External"/><Relationship Id="rId16" Type="http://schemas.openxmlformats.org/officeDocument/2006/relationships/hyperlink" Target="https://lnb-info.de/images/LNB_QNG-Download/241016%20LNB_QNG%20Kriterienkatalog.pdf" TargetMode="External"/><Relationship Id="rId20" Type="http://schemas.openxmlformats.org/officeDocument/2006/relationships/hyperlink" Target="https://lnb-info.de/images/LNB_QNG-Download/241016%20LNB_QNG%20Kriterienkatalog.pdf" TargetMode="External"/><Relationship Id="rId1" Type="http://schemas.openxmlformats.org/officeDocument/2006/relationships/hyperlink" Target="https://lnb-info.de/images/LNB_QNG-Download/241016%20LNB_QNG%20Kriterienkatalog.pdf" TargetMode="External"/><Relationship Id="rId6" Type="http://schemas.openxmlformats.org/officeDocument/2006/relationships/hyperlink" Target="https://lnb-info.de/images/LNB_QNG-Download/241016%20LNB_QNG%20Kriterienkatalog.pdf" TargetMode="External"/><Relationship Id="rId11" Type="http://schemas.openxmlformats.org/officeDocument/2006/relationships/hyperlink" Target="https://lnb-info.de/images/LNB_QNG-Download/241016%20LNB_QNG%20Kriterienkatalog.pdf" TargetMode="External"/><Relationship Id="rId5" Type="http://schemas.openxmlformats.org/officeDocument/2006/relationships/hyperlink" Target="https://lnb-info.de/images/LNB_QNG-Download/241016%20LNB_QNG%20Kriterienkatalog.pdf" TargetMode="External"/><Relationship Id="rId15" Type="http://schemas.openxmlformats.org/officeDocument/2006/relationships/hyperlink" Target="https://lnb-info.de/images/LNB_QNG-Download/241016%20LNB_QNG%20Kriterienkatalog.pdf" TargetMode="External"/><Relationship Id="rId23" Type="http://schemas.openxmlformats.org/officeDocument/2006/relationships/drawing" Target="../drawings/drawing4.xml"/><Relationship Id="rId10" Type="http://schemas.openxmlformats.org/officeDocument/2006/relationships/hyperlink" Target="https://lnb-info.de/images/LNB_QNG-Download/241016%20LNB_QNG%20Kriterienkatalog.pdf" TargetMode="External"/><Relationship Id="rId19" Type="http://schemas.openxmlformats.org/officeDocument/2006/relationships/hyperlink" Target="https://lnb-info.de/images/LNB_QNG-Download/241016%20LNB_QNG%20Kriterienkatalog.pdf" TargetMode="External"/><Relationship Id="rId4" Type="http://schemas.openxmlformats.org/officeDocument/2006/relationships/hyperlink" Target="https://lnb-info.de/images/LNB_QNG-Download/241016%20LNB_QNG%20Kriterienkatalog.pdf" TargetMode="External"/><Relationship Id="rId9" Type="http://schemas.openxmlformats.org/officeDocument/2006/relationships/hyperlink" Target="https://lnb-info.de/images/LNB_QNG-Download/241016%20LNB_QNG%20Kriterienkatalog.pdf" TargetMode="External"/><Relationship Id="rId14" Type="http://schemas.openxmlformats.org/officeDocument/2006/relationships/hyperlink" Target="https://lnb-info.de/images/LNB_QNG-Download/241016%20LNB_QNG%20Kriterienkatalog.pdf" TargetMode="External"/><Relationship Id="rId22"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image" Target="../media/image1.jpeg"/></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5D47F-4D2D-4398-AD8A-5D03687E5F77}">
  <sheetPr codeName="Tabelle3">
    <pageSetUpPr fitToPage="1"/>
  </sheetPr>
  <dimension ref="B1:D47"/>
  <sheetViews>
    <sheetView showGridLines="0" topLeftCell="A18" zoomScale="90" zoomScaleNormal="90" workbookViewId="0">
      <selection activeCell="L19" sqref="L19"/>
    </sheetView>
  </sheetViews>
  <sheetFormatPr baseColWidth="10" defaultColWidth="11.36328125" defaultRowHeight="12.5"/>
  <cols>
    <col min="1" max="1" width="3.81640625" customWidth="1"/>
    <col min="2" max="2" width="68.81640625" customWidth="1"/>
    <col min="3" max="3" width="44.26953125" customWidth="1"/>
    <col min="4" max="4" width="11.36328125" hidden="1" customWidth="1"/>
  </cols>
  <sheetData>
    <row r="1" spans="2:4" ht="27.75" customHeight="1">
      <c r="B1" s="1242" t="s">
        <v>631</v>
      </c>
      <c r="C1" s="1242"/>
    </row>
    <row r="2" spans="2:4" ht="15.75" customHeight="1">
      <c r="B2" s="1242"/>
      <c r="C2" s="1242"/>
    </row>
    <row r="3" spans="2:4">
      <c r="B3" s="1242"/>
      <c r="C3" s="1242"/>
    </row>
    <row r="4" spans="2:4">
      <c r="B4" s="1242"/>
      <c r="C4" s="1242"/>
    </row>
    <row r="5" spans="2:4">
      <c r="B5" s="1242"/>
      <c r="C5" s="1242"/>
    </row>
    <row r="6" spans="2:4">
      <c r="B6" s="1242"/>
      <c r="C6" s="1242"/>
    </row>
    <row r="7" spans="2:4" ht="13" thickBot="1">
      <c r="B7" s="171"/>
      <c r="C7" s="171"/>
    </row>
    <row r="8" spans="2:4" ht="20.5" thickBot="1">
      <c r="B8" s="1243" t="s">
        <v>0</v>
      </c>
      <c r="C8" s="1243"/>
    </row>
    <row r="9" spans="2:4" ht="5.25" customHeight="1">
      <c r="B9" s="171"/>
      <c r="C9" s="171"/>
    </row>
    <row r="10" spans="2:4" ht="20.25" customHeight="1">
      <c r="B10" s="172" t="s">
        <v>1</v>
      </c>
      <c r="C10" s="178"/>
      <c r="D10" t="s">
        <v>2</v>
      </c>
    </row>
    <row r="11" spans="2:4" ht="20.25" customHeight="1">
      <c r="B11" s="172" t="s">
        <v>3</v>
      </c>
      <c r="C11" s="177"/>
      <c r="D11" s="324" t="s">
        <v>4</v>
      </c>
    </row>
    <row r="12" spans="2:4" ht="20.25" customHeight="1">
      <c r="B12" s="172" t="s">
        <v>5</v>
      </c>
      <c r="C12" s="177"/>
      <c r="D12" s="324" t="s">
        <v>7</v>
      </c>
    </row>
    <row r="13" spans="2:4" ht="20.25" customHeight="1">
      <c r="B13" s="172" t="s">
        <v>8</v>
      </c>
      <c r="C13" s="177"/>
      <c r="D13" s="324" t="s">
        <v>9</v>
      </c>
    </row>
    <row r="14" spans="2:4" ht="20.25" customHeight="1">
      <c r="B14" s="172" t="s">
        <v>10</v>
      </c>
      <c r="C14" s="176"/>
    </row>
    <row r="15" spans="2:4" ht="20.25" customHeight="1">
      <c r="B15" s="172" t="s">
        <v>11</v>
      </c>
      <c r="C15" s="176"/>
    </row>
    <row r="16" spans="2:4" ht="20.25" customHeight="1">
      <c r="B16" s="172" t="s">
        <v>12</v>
      </c>
      <c r="C16" s="325"/>
    </row>
    <row r="17" spans="2:4" ht="20.25" customHeight="1">
      <c r="B17" s="172" t="s">
        <v>13</v>
      </c>
      <c r="C17" s="325"/>
    </row>
    <row r="18" spans="2:4" ht="20.25" customHeight="1">
      <c r="B18" s="172" t="s">
        <v>14</v>
      </c>
      <c r="C18" s="326"/>
    </row>
    <row r="19" spans="2:4" ht="20.25" customHeight="1">
      <c r="B19" s="172" t="s">
        <v>15</v>
      </c>
      <c r="C19" s="326"/>
    </row>
    <row r="20" spans="2:4" ht="20.25" customHeight="1">
      <c r="B20" s="172" t="s">
        <v>16</v>
      </c>
      <c r="C20" s="326"/>
    </row>
    <row r="21" spans="2:4" ht="20.25" customHeight="1">
      <c r="B21" s="172" t="s">
        <v>17</v>
      </c>
      <c r="C21" s="547"/>
    </row>
    <row r="22" spans="2:4" ht="20.25" customHeight="1">
      <c r="B22" s="173" t="s">
        <v>18</v>
      </c>
      <c r="C22" s="174" t="s">
        <v>2</v>
      </c>
    </row>
    <row r="23" spans="2:4" ht="18.75" customHeight="1">
      <c r="B23" s="173" t="s">
        <v>19</v>
      </c>
      <c r="C23" s="174">
        <f>'Punktevergabe LNB_QNG'!J79</f>
        <v>0</v>
      </c>
      <c r="D23">
        <v>-30</v>
      </c>
    </row>
    <row r="24" spans="2:4" ht="18.75" customHeight="1">
      <c r="B24" s="173" t="s">
        <v>20</v>
      </c>
      <c r="C24" s="174" t="str">
        <f>IF('Punktevergabe LNB_QNG'!J84="erreicht","QNG PREMIUM",IF('Punktevergabe LNB_QNG'!J83="erreicht","QNG PLUS","Kein QNG"))</f>
        <v>Kein QNG</v>
      </c>
    </row>
    <row r="25" spans="2:4" ht="9.75" customHeight="1" thickBot="1">
      <c r="B25" s="171"/>
      <c r="C25" s="171"/>
      <c r="D25">
        <v>-50</v>
      </c>
    </row>
    <row r="26" spans="2:4" ht="20.5" thickBot="1">
      <c r="B26" s="1244" t="s">
        <v>21</v>
      </c>
      <c r="C26" s="1244"/>
      <c r="D26">
        <v>-60</v>
      </c>
    </row>
    <row r="27" spans="2:4" ht="8.25" customHeight="1">
      <c r="B27" s="171"/>
      <c r="C27" s="171"/>
      <c r="D27">
        <v>-70</v>
      </c>
    </row>
    <row r="28" spans="2:4" ht="30" customHeight="1">
      <c r="B28" s="175" t="s">
        <v>22</v>
      </c>
      <c r="C28" s="177"/>
    </row>
    <row r="29" spans="2:4" ht="20.25" customHeight="1">
      <c r="B29" s="175" t="s">
        <v>23</v>
      </c>
      <c r="C29" s="177"/>
    </row>
    <row r="30" spans="2:4" ht="20.25" hidden="1" customHeight="1">
      <c r="B30" s="175" t="s">
        <v>24</v>
      </c>
      <c r="C30" s="176"/>
    </row>
    <row r="31" spans="2:4" ht="8.25" customHeight="1">
      <c r="B31" s="171"/>
      <c r="C31" s="171"/>
    </row>
    <row r="32" spans="2:4">
      <c r="B32" s="1245" t="s">
        <v>25</v>
      </c>
      <c r="C32" s="1246"/>
    </row>
    <row r="33" spans="2:3">
      <c r="B33" s="1247"/>
      <c r="C33" s="1248"/>
    </row>
    <row r="34" spans="2:3">
      <c r="B34" s="1247"/>
      <c r="C34" s="1248"/>
    </row>
    <row r="35" spans="2:3">
      <c r="B35" s="1247"/>
      <c r="C35" s="1248"/>
    </row>
    <row r="36" spans="2:3">
      <c r="B36" s="1247"/>
      <c r="C36" s="1248"/>
    </row>
    <row r="37" spans="2:3">
      <c r="B37" s="1247"/>
      <c r="C37" s="1248"/>
    </row>
    <row r="38" spans="2:3">
      <c r="B38" s="1247"/>
      <c r="C38" s="1248"/>
    </row>
    <row r="39" spans="2:3">
      <c r="B39" s="1247"/>
      <c r="C39" s="1248"/>
    </row>
    <row r="40" spans="2:3">
      <c r="B40" s="1247"/>
      <c r="C40" s="1248"/>
    </row>
    <row r="41" spans="2:3">
      <c r="B41" s="1247"/>
      <c r="C41" s="1248"/>
    </row>
    <row r="42" spans="2:3">
      <c r="B42" s="1247"/>
      <c r="C42" s="1248"/>
    </row>
    <row r="43" spans="2:3">
      <c r="B43" s="1249"/>
      <c r="C43" s="1250"/>
    </row>
    <row r="44" spans="2:3" ht="10.5" customHeight="1">
      <c r="B44" s="171"/>
      <c r="C44" s="171"/>
    </row>
    <row r="45" spans="2:3" ht="21" customHeight="1">
      <c r="B45" s="175" t="s">
        <v>24</v>
      </c>
      <c r="C45" s="176"/>
    </row>
    <row r="46" spans="2:3" ht="69" customHeight="1">
      <c r="B46" s="172" t="s">
        <v>26</v>
      </c>
      <c r="C46" s="177" t="s">
        <v>27</v>
      </c>
    </row>
    <row r="47" spans="2:3">
      <c r="B47" s="171"/>
      <c r="C47" s="171"/>
    </row>
  </sheetData>
  <sheetProtection selectLockedCells="1"/>
  <protectedRanges>
    <protectedRange sqref="C21" name="Bereich1"/>
  </protectedRanges>
  <mergeCells count="4">
    <mergeCell ref="B1:C6"/>
    <mergeCell ref="B8:C8"/>
    <mergeCell ref="B26:C26"/>
    <mergeCell ref="B32:C43"/>
  </mergeCells>
  <dataValidations count="1">
    <dataValidation type="list" allowBlank="1" showInputMessage="1" showErrorMessage="1" sqref="C22" xr:uid="{C2F01BB0-AAC4-4A38-9003-B8AD3D3B8D94}">
      <formula1>$D$10:$D$13</formula1>
    </dataValidation>
  </dataValidations>
  <pageMargins left="0.59055118110236238" right="0.59055118110236238" top="0.59055118110236238" bottom="0.59055118110236238" header="0.31496062992125984" footer="0.31496062992125984"/>
  <pageSetup paperSize="9" scale="78" orientation="portrait" r:id="rId1"/>
  <pictur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8">
    <pageSetUpPr fitToPage="1"/>
  </sheetPr>
  <dimension ref="A1:E15"/>
  <sheetViews>
    <sheetView zoomScale="80" zoomScaleNormal="80" workbookViewId="0">
      <selection activeCell="B9" sqref="B9:B14"/>
    </sheetView>
  </sheetViews>
  <sheetFormatPr baseColWidth="10" defaultColWidth="11.36328125" defaultRowHeight="12.5"/>
  <cols>
    <col min="1" max="1" width="40.36328125" style="98" customWidth="1"/>
    <col min="2" max="2" width="42.26953125" style="98" customWidth="1"/>
    <col min="3" max="3" width="10.26953125" style="98" customWidth="1"/>
    <col min="4" max="4" width="30.81640625" style="250" customWidth="1"/>
    <col min="5" max="5" width="13.36328125" style="98" hidden="1" customWidth="1"/>
    <col min="6" max="16384" width="11.36328125" style="98"/>
  </cols>
  <sheetData>
    <row r="1" spans="1:5" ht="40.5" customHeight="1">
      <c r="A1" s="1322" t="s">
        <v>705</v>
      </c>
      <c r="B1" s="1322"/>
      <c r="C1" s="1322"/>
    </row>
    <row r="2" spans="1:5" ht="7.5" customHeight="1" thickBot="1">
      <c r="A2" s="99"/>
      <c r="B2" s="99"/>
      <c r="C2" s="99"/>
    </row>
    <row r="3" spans="1:5" s="101" customFormat="1" ht="41.25" customHeight="1" thickBot="1">
      <c r="A3" s="1019" t="s">
        <v>161</v>
      </c>
      <c r="B3" s="1020" t="s">
        <v>240</v>
      </c>
      <c r="C3" s="1021" t="s">
        <v>52</v>
      </c>
      <c r="D3" s="842" t="s">
        <v>704</v>
      </c>
    </row>
    <row r="4" spans="1:5" ht="40" customHeight="1">
      <c r="A4" s="1016" t="s">
        <v>721</v>
      </c>
      <c r="B4" s="1017">
        <v>5</v>
      </c>
      <c r="C4" s="1018"/>
      <c r="D4" s="843"/>
      <c r="E4" s="98">
        <v>0</v>
      </c>
    </row>
    <row r="5" spans="1:5" ht="40" customHeight="1">
      <c r="A5" s="780" t="s">
        <v>722</v>
      </c>
      <c r="B5" s="500">
        <v>7</v>
      </c>
      <c r="C5" s="504"/>
      <c r="D5" s="841"/>
      <c r="E5" s="98">
        <v>5</v>
      </c>
    </row>
    <row r="6" spans="1:5" ht="30" customHeight="1" thickBot="1">
      <c r="A6" s="1463" t="s">
        <v>122</v>
      </c>
      <c r="B6" s="1464"/>
      <c r="C6" s="501">
        <f>IF(SUM(C4:C5)&gt;10,10,SUM(C4:C5))</f>
        <v>0</v>
      </c>
      <c r="D6" s="502"/>
      <c r="E6" s="98">
        <v>0</v>
      </c>
    </row>
    <row r="7" spans="1:5" ht="25" customHeight="1" thickBot="1">
      <c r="A7" s="1465"/>
      <c r="B7" s="1465"/>
      <c r="C7" s="503"/>
      <c r="E7" s="98">
        <v>7</v>
      </c>
    </row>
    <row r="8" spans="1:5" ht="25" customHeight="1">
      <c r="A8" s="1466" t="s">
        <v>493</v>
      </c>
      <c r="B8" s="1467"/>
    </row>
    <row r="9" spans="1:5" ht="20.5" customHeight="1">
      <c r="A9" s="844" t="s">
        <v>241</v>
      </c>
      <c r="B9" s="845"/>
      <c r="E9" s="363" t="s">
        <v>739</v>
      </c>
    </row>
    <row r="10" spans="1:5" ht="20.5" customHeight="1">
      <c r="A10" s="846" t="s">
        <v>243</v>
      </c>
      <c r="B10" s="847"/>
      <c r="E10" s="363" t="s">
        <v>244</v>
      </c>
    </row>
    <row r="11" spans="1:5" s="102" customFormat="1" ht="20.5" customHeight="1">
      <c r="A11" s="846" t="s">
        <v>245</v>
      </c>
      <c r="B11" s="847"/>
      <c r="C11" s="98"/>
      <c r="D11" s="250"/>
    </row>
    <row r="12" spans="1:5" ht="20.5" customHeight="1">
      <c r="A12" s="846" t="s">
        <v>246</v>
      </c>
      <c r="B12" s="847"/>
      <c r="E12" s="363">
        <v>5</v>
      </c>
    </row>
    <row r="13" spans="1:5" ht="20.5" customHeight="1">
      <c r="A13" s="846" t="s">
        <v>247</v>
      </c>
      <c r="B13" s="847"/>
      <c r="E13" s="363">
        <v>7</v>
      </c>
    </row>
    <row r="14" spans="1:5" ht="20.5" customHeight="1">
      <c r="A14" s="846" t="s">
        <v>248</v>
      </c>
      <c r="B14" s="847"/>
    </row>
    <row r="15" spans="1:5" ht="25.5" customHeight="1" thickBot="1">
      <c r="A15" s="848" t="s">
        <v>249</v>
      </c>
      <c r="B15" s="849">
        <f>IF(B9="Außenanlagen/WCs",(B10*2*(B11*30+B12*10)+B13*40),B14*40)</f>
        <v>0</v>
      </c>
    </row>
  </sheetData>
  <sheetProtection algorithmName="SHA-512" hashValue="sxraWbkR38FzFyAtfFMsEmgckv4B87DGIe7EVTt54419xlZAfxqqXgeR/buqSp+EsOTFyRVLc04RCwzowAHDhA==" saltValue="FGKqA1wEDw1kbJDihRRIpA==" spinCount="100000" sheet="1" objects="1" scenarios="1"/>
  <protectedRanges>
    <protectedRange sqref="D4:D5" name="Bereich3"/>
    <protectedRange sqref="E4:E5 C4:C5" name="Bereich1"/>
    <protectedRange sqref="B9:B14" name="Bereich2"/>
  </protectedRanges>
  <mergeCells count="4">
    <mergeCell ref="A1:C1"/>
    <mergeCell ref="A6:B6"/>
    <mergeCell ref="A7:B7"/>
    <mergeCell ref="A8:B8"/>
  </mergeCells>
  <dataValidations count="4">
    <dataValidation type="list" allowBlank="1" showInputMessage="1" showErrorMessage="1" sqref="B9" xr:uid="{51A77533-50D2-4F78-AF47-536194F008A0}">
      <formula1>$E$9:$E$10</formula1>
    </dataValidation>
    <dataValidation type="list" allowBlank="1" showInputMessage="1" showErrorMessage="1" sqref="B10" xr:uid="{4FDABD9E-9D63-4BF8-B952-7B2D57D31059}">
      <formula1>$E$12:$E$13</formula1>
    </dataValidation>
    <dataValidation type="list" allowBlank="1" showInputMessage="1" showErrorMessage="1" errorTitle="Falscher Wert!" error="Bitte geben Sie die Zahl 0 oder 1 ein." sqref="C4" xr:uid="{00000000-0002-0000-0800-000000000000}">
      <formula1>$E$4:$E$5</formula1>
    </dataValidation>
    <dataValidation type="list" allowBlank="1" showInputMessage="1" showErrorMessage="1" errorTitle="Falscher Wert!" error="Bitte geben Sie die Zahl 0 oder 1 ein." sqref="C5" xr:uid="{34EE00DC-D9C4-4A2D-80D8-8C138E93078F}">
      <formula1>$E$6:$E$7</formula1>
    </dataValidation>
  </dataValidations>
  <printOptions horizontalCentered="1"/>
  <pageMargins left="0.59055118110236227" right="0.59055118110236227" top="0.59055118110236227" bottom="0.59055118110236227" header="0.31496062992125984" footer="0.31496062992125984"/>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81691-AA1E-4851-AFC6-64DE77C2B15C}">
  <sheetPr>
    <pageSetUpPr fitToPage="1"/>
  </sheetPr>
  <dimension ref="A1:N31"/>
  <sheetViews>
    <sheetView zoomScale="80" zoomScaleNormal="80" workbookViewId="0">
      <selection activeCell="B14" sqref="B14"/>
    </sheetView>
  </sheetViews>
  <sheetFormatPr baseColWidth="10" defaultColWidth="11.36328125" defaultRowHeight="14"/>
  <cols>
    <col min="1" max="1" width="39.08984375" style="1120" customWidth="1"/>
    <col min="2" max="2" width="42.7265625" style="1120" bestFit="1" customWidth="1"/>
    <col min="3" max="3" width="15.26953125" style="1120" bestFit="1" customWidth="1"/>
    <col min="4" max="4" width="30.7265625" style="1119" customWidth="1"/>
    <col min="5" max="5" width="5.81640625" style="1120" customWidth="1"/>
    <col min="6" max="6" width="16.26953125" style="1120" hidden="1" customWidth="1"/>
    <col min="7" max="7" width="14" style="1120" hidden="1" customWidth="1"/>
    <col min="8" max="8" width="11.6328125" style="1120" hidden="1" customWidth="1"/>
    <col min="9" max="9" width="15" style="1121" hidden="1" customWidth="1"/>
    <col min="10" max="10" width="12.81640625" style="1120" hidden="1" customWidth="1"/>
    <col min="11" max="11" width="12.7265625" style="1120" hidden="1" customWidth="1"/>
    <col min="12" max="12" width="12.36328125" style="1120" hidden="1" customWidth="1"/>
    <col min="13" max="13" width="26.36328125" style="1120" hidden="1" customWidth="1"/>
    <col min="14" max="14" width="41.81640625" style="1121" hidden="1" customWidth="1"/>
    <col min="15" max="18" width="11.36328125" style="1120" customWidth="1"/>
    <col min="19" max="22" width="11.36328125" style="1120"/>
    <col min="23" max="23" width="10.08984375" style="1120" customWidth="1"/>
    <col min="24" max="16384" width="11.36328125" style="1120"/>
  </cols>
  <sheetData>
    <row r="1" spans="1:14" ht="37" customHeight="1" thickBot="1">
      <c r="A1" s="1322" t="s">
        <v>707</v>
      </c>
      <c r="B1" s="1322"/>
      <c r="C1" s="1322"/>
      <c r="F1" s="1474" t="s">
        <v>250</v>
      </c>
      <c r="G1" s="1475"/>
      <c r="H1" s="1476"/>
      <c r="K1" s="1474" t="s">
        <v>251</v>
      </c>
      <c r="L1" s="1477"/>
      <c r="M1" s="1478"/>
    </row>
    <row r="2" spans="1:14" ht="7.5" customHeight="1" thickBot="1">
      <c r="A2" s="222"/>
      <c r="B2" s="222"/>
      <c r="C2" s="222"/>
    </row>
    <row r="3" spans="1:14" s="1123" customFormat="1" ht="25" customHeight="1" thickBot="1">
      <c r="A3" s="1479" t="str">
        <f>IF(ISTEXT('Punktevergabe LNB'!E5),CONCATENATE("Eingabefeld PHPP ", ('Punktevergabe LNB'!E5),""))</f>
        <v>Eingabefeld PHPP Neubau</v>
      </c>
      <c r="B3" s="1480"/>
      <c r="C3" s="1481"/>
      <c r="D3" s="1122" t="s">
        <v>53</v>
      </c>
      <c r="F3" s="1482" t="s">
        <v>252</v>
      </c>
      <c r="G3" s="1483"/>
      <c r="H3" s="1484"/>
      <c r="I3" s="1124" t="s">
        <v>53</v>
      </c>
      <c r="K3" s="1482" t="s">
        <v>253</v>
      </c>
      <c r="L3" s="1483"/>
      <c r="M3" s="1484"/>
      <c r="N3" s="1125" t="s">
        <v>53</v>
      </c>
    </row>
    <row r="4" spans="1:14" s="1123" customFormat="1" ht="24" customHeight="1">
      <c r="A4" s="1126" t="s">
        <v>254</v>
      </c>
      <c r="B4" s="1097"/>
      <c r="C4" s="1127" t="s">
        <v>255</v>
      </c>
      <c r="D4" s="1128"/>
      <c r="F4" s="1129" t="s">
        <v>254</v>
      </c>
      <c r="G4" s="1130" t="str">
        <f>IF(AND(ISNUMBER(B4)),B4,"")</f>
        <v/>
      </c>
      <c r="H4" s="1131" t="s">
        <v>255</v>
      </c>
      <c r="I4" s="1125"/>
      <c r="K4" s="1129" t="s">
        <v>254</v>
      </c>
      <c r="L4" s="1130" t="str">
        <f>IF(AND(ISNUMBER(B4)),B4,"")</f>
        <v/>
      </c>
      <c r="M4" s="1131" t="s">
        <v>255</v>
      </c>
      <c r="N4" s="1125"/>
    </row>
    <row r="5" spans="1:14" s="1134" customFormat="1" ht="25" customHeight="1">
      <c r="A5" s="1132" t="s">
        <v>694</v>
      </c>
      <c r="B5" s="1098"/>
      <c r="C5" s="1133" t="s">
        <v>271</v>
      </c>
      <c r="D5" s="1128"/>
      <c r="F5" s="1129" t="s">
        <v>256</v>
      </c>
      <c r="G5" s="1130" t="str">
        <f>IF(AND(ISNUMBER(B5)),B5,"")</f>
        <v/>
      </c>
      <c r="H5" s="1131" t="s">
        <v>257</v>
      </c>
      <c r="I5" s="1135"/>
      <c r="K5" s="1129" t="s">
        <v>256</v>
      </c>
      <c r="L5" s="1130" t="str">
        <f>IF(AND(ISNUMBER(B5)),B5,"")</f>
        <v/>
      </c>
      <c r="M5" s="1131" t="s">
        <v>257</v>
      </c>
      <c r="N5" s="1135"/>
    </row>
    <row r="6" spans="1:14" s="1134" customFormat="1" ht="25" customHeight="1">
      <c r="A6" s="1132" t="s">
        <v>693</v>
      </c>
      <c r="B6" s="1098"/>
      <c r="C6" s="1133" t="s">
        <v>271</v>
      </c>
      <c r="D6" s="1136"/>
      <c r="F6" s="1126" t="s">
        <v>258</v>
      </c>
      <c r="G6" s="1130" t="str">
        <f>IF(AND(ISNUMBER(B6)),B6,"")</f>
        <v/>
      </c>
      <c r="H6" s="1131" t="s">
        <v>257</v>
      </c>
      <c r="I6" s="1135" t="s">
        <v>259</v>
      </c>
      <c r="K6" s="1126" t="s">
        <v>258</v>
      </c>
      <c r="L6" s="1130" t="str">
        <f>IF(AND(ISNUMBER(B6)),B6,"")</f>
        <v/>
      </c>
      <c r="M6" s="1131" t="s">
        <v>257</v>
      </c>
      <c r="N6" s="1135" t="s">
        <v>259</v>
      </c>
    </row>
    <row r="7" spans="1:14" s="1134" customFormat="1" ht="25" customHeight="1">
      <c r="A7" s="1132" t="s">
        <v>624</v>
      </c>
      <c r="B7" s="1098"/>
      <c r="C7" s="1133" t="s">
        <v>271</v>
      </c>
      <c r="D7" s="1136"/>
      <c r="F7" s="1129" t="s">
        <v>260</v>
      </c>
      <c r="G7" s="1130" t="str">
        <f>IF(AND(ISNUMBER(B7)),B7,"")</f>
        <v/>
      </c>
      <c r="H7" s="1131" t="s">
        <v>257</v>
      </c>
      <c r="I7" s="1135"/>
      <c r="K7" s="1129" t="s">
        <v>260</v>
      </c>
      <c r="L7" s="1130" t="str">
        <f>IF(AND(ISNUMBER(B7)),B7,"")</f>
        <v/>
      </c>
      <c r="M7" s="1131" t="s">
        <v>257</v>
      </c>
      <c r="N7" s="1135"/>
    </row>
    <row r="8" spans="1:14" s="1134" customFormat="1" ht="25" customHeight="1">
      <c r="A8" s="1132" t="s">
        <v>755</v>
      </c>
      <c r="B8" s="1098"/>
      <c r="C8" s="1137" t="s">
        <v>753</v>
      </c>
      <c r="D8" s="1136"/>
      <c r="F8" s="1129" t="s">
        <v>261</v>
      </c>
      <c r="G8" s="1130" t="str">
        <f>IF(AND(ISNUMBER(B8)),B8,"")</f>
        <v/>
      </c>
      <c r="H8" s="1138" t="s">
        <v>262</v>
      </c>
      <c r="I8" s="1135"/>
      <c r="K8" s="1129" t="s">
        <v>261</v>
      </c>
      <c r="L8" s="1130" t="str">
        <f>IF(AND(ISNUMBER(B8)),B8,"")</f>
        <v/>
      </c>
      <c r="M8" s="1138" t="s">
        <v>262</v>
      </c>
      <c r="N8" s="1135"/>
    </row>
    <row r="9" spans="1:14" s="1134" customFormat="1" ht="25.5" customHeight="1" thickBot="1">
      <c r="A9" s="1139" t="s">
        <v>779</v>
      </c>
      <c r="B9" s="1140"/>
      <c r="C9" s="1141" t="s">
        <v>263</v>
      </c>
      <c r="D9" s="1136"/>
      <c r="F9" s="1142" t="s">
        <v>264</v>
      </c>
      <c r="G9" s="1143">
        <f>IF(AND(ISNUMBER(B9)),B9,0)</f>
        <v>0</v>
      </c>
      <c r="H9" s="1138" t="s">
        <v>263</v>
      </c>
      <c r="I9" s="1144"/>
      <c r="K9" s="1142" t="s">
        <v>264</v>
      </c>
      <c r="L9" s="1143">
        <f>IF(AND(ISNUMBER(B9)),B9,0)</f>
        <v>0</v>
      </c>
      <c r="M9" s="1138" t="s">
        <v>263</v>
      </c>
      <c r="N9" s="1145"/>
    </row>
    <row r="10" spans="1:14" ht="25" hidden="1" customHeight="1" thickBot="1">
      <c r="A10" s="1146" t="s">
        <v>265</v>
      </c>
      <c r="B10" s="1110"/>
      <c r="C10" s="1147"/>
      <c r="D10" s="1148" t="s">
        <v>266</v>
      </c>
      <c r="E10" s="1149"/>
      <c r="F10" s="1150" t="s">
        <v>265</v>
      </c>
      <c r="G10" s="1143" t="str">
        <f>IF(ISTEXT(B10),B10,"")</f>
        <v/>
      </c>
      <c r="H10" s="1151"/>
      <c r="I10" s="1152" t="s">
        <v>266</v>
      </c>
      <c r="K10" s="1153" t="s">
        <v>265</v>
      </c>
      <c r="L10" s="1143" t="str">
        <f>IF(ISTEXT(B10),B10,"")</f>
        <v/>
      </c>
      <c r="M10" s="1151"/>
      <c r="N10" s="1154" t="s">
        <v>266</v>
      </c>
    </row>
    <row r="11" spans="1:14">
      <c r="A11" s="1155"/>
      <c r="E11" s="1156"/>
      <c r="F11" s="1155"/>
      <c r="H11" s="1157"/>
      <c r="I11" s="1158"/>
      <c r="K11" s="1155"/>
      <c r="M11" s="1157"/>
      <c r="N11" s="1158"/>
    </row>
    <row r="12" spans="1:14" ht="14.5" thickBot="1">
      <c r="A12" s="1155"/>
      <c r="E12" s="1156"/>
      <c r="F12" s="1155"/>
      <c r="H12" s="1157"/>
      <c r="K12" s="1155"/>
      <c r="M12" s="1157"/>
    </row>
    <row r="13" spans="1:14" ht="25" customHeight="1" thickBot="1">
      <c r="A13" s="1468" t="s">
        <v>267</v>
      </c>
      <c r="B13" s="1469"/>
      <c r="C13" s="1470"/>
      <c r="D13" s="1122" t="s">
        <v>53</v>
      </c>
      <c r="F13" s="1471" t="s">
        <v>268</v>
      </c>
      <c r="G13" s="1472"/>
      <c r="H13" s="1473"/>
      <c r="K13" s="1471" t="s">
        <v>269</v>
      </c>
      <c r="L13" s="1472"/>
      <c r="M13" s="1473"/>
    </row>
    <row r="14" spans="1:14" s="1134" customFormat="1" ht="25" customHeight="1">
      <c r="A14" s="1159" t="s">
        <v>270</v>
      </c>
      <c r="B14" s="1160" t="str">
        <f>IF(AND(ISTEXT('Punktevergabe LNB'!E5),('Punktevergabe LNB'!E5="Neubau")),IF(G14&gt;0,G14,0),IF(L14&gt;0,L14,0))</f>
        <v/>
      </c>
      <c r="C14" s="1161" t="s">
        <v>271</v>
      </c>
      <c r="D14" s="1128"/>
      <c r="E14" s="1120"/>
      <c r="F14" s="1162" t="s">
        <v>260</v>
      </c>
      <c r="G14" s="1163" t="str">
        <f>IF(AND(ISNUMBER(G7),ISNUMBER(G4),ISNUMBER(G9)),(G7-(G9/G4)*1),"")</f>
        <v/>
      </c>
      <c r="H14" s="1161" t="s">
        <v>271</v>
      </c>
      <c r="I14" s="1164"/>
      <c r="K14" s="1162" t="s">
        <v>260</v>
      </c>
      <c r="L14" s="1163" t="str">
        <f>IF(AND(ISNUMBER(L7),ISNUMBER(L4),ISNUMBER(L9)),(L7-(L9/L4)*1),"")</f>
        <v/>
      </c>
      <c r="M14" s="1161" t="s">
        <v>271</v>
      </c>
      <c r="N14" s="1165"/>
    </row>
    <row r="15" spans="1:14" s="1134" customFormat="1" ht="25" customHeight="1" thickBot="1">
      <c r="A15" s="1166" t="s">
        <v>272</v>
      </c>
      <c r="B15" s="1163" t="str">
        <f>IF(AND(ISNUMBER(B8),ISNUMBER(B4),ISNUMBER(B9)),(B8-(B9/B4)*0.56),G15)</f>
        <v/>
      </c>
      <c r="C15" s="1138" t="s">
        <v>754</v>
      </c>
      <c r="D15" s="1128"/>
      <c r="F15" s="1162" t="s">
        <v>261</v>
      </c>
      <c r="G15" s="1163" t="str">
        <f>IF(AND(ISNUMBER(G8),ISNUMBER(G4),ISNUMBER(G9)),(G8-(G9/G4)*0.56),"")</f>
        <v/>
      </c>
      <c r="H15" s="1131" t="s">
        <v>274</v>
      </c>
      <c r="I15" s="1164"/>
      <c r="K15" s="1162" t="s">
        <v>261</v>
      </c>
      <c r="L15" s="1163" t="str">
        <f>IF(AND(ISNUMBER(L8),ISNUMBER(L4),ISNUMBER(L9)),(L8-(L9/L4)*0.56),"")</f>
        <v/>
      </c>
      <c r="M15" s="1131" t="s">
        <v>274</v>
      </c>
      <c r="N15" s="1165"/>
    </row>
    <row r="16" spans="1:14" s="1134" customFormat="1" ht="25" customHeight="1" thickBot="1">
      <c r="A16" s="1167" t="s">
        <v>275</v>
      </c>
      <c r="B16" s="1168" t="str">
        <f>IF(AND(ISTEXT('Punktevergabe LNB'!E5),('Punktevergabe LNB'!E5="Neubau")),'B 1. '!G16,L16)</f>
        <v/>
      </c>
      <c r="C16" s="1169"/>
      <c r="D16" s="1128"/>
      <c r="F16" s="1170" t="s">
        <v>275</v>
      </c>
      <c r="G16" s="1171" t="str">
        <f>IF(ISNUMBER(G5),IF(G5&lt;=G25,H25,IF(AND(G5&lt;=G24,G5&gt;G25),ROUND(H25+(H24-H25)/(G24-G25)*(G5-G25),H24),"Mindestanforderung nicht erfüllt")),"")</f>
        <v/>
      </c>
      <c r="H16" s="1172"/>
      <c r="I16" s="1164"/>
      <c r="K16" s="1170" t="s">
        <v>275</v>
      </c>
      <c r="L16" s="1171" t="str">
        <f>IF(ISNUMBER(L5),IF(L5&lt;=L25,M25,IF(AND(L5&lt;=L24,L5&gt;L25),ROUND(M25+(M24-M25)/(L24-L25)*(L5-L25),M24),"Mindestanforderung nicht erfüllt")),"")</f>
        <v/>
      </c>
      <c r="M16" s="1172"/>
      <c r="N16" s="1165"/>
    </row>
    <row r="17" spans="1:14" s="1134" customFormat="1" ht="24.75" customHeight="1" thickBot="1">
      <c r="A17" s="1167" t="s">
        <v>276</v>
      </c>
      <c r="B17" s="1168" t="str">
        <f>IF(AND(ISTEXT('Punktevergabe LNB'!E5),('Punktevergabe LNB'!E5="Neubau")),'B 1. '!G17,L17)</f>
        <v/>
      </c>
      <c r="C17" s="1173"/>
      <c r="D17" s="1136"/>
      <c r="F17" s="1170" t="s">
        <v>276</v>
      </c>
      <c r="G17" s="1171" t="str">
        <f>IF(ISNUMBER(G6),IF(G6&lt;=G27,H27,IF(AND(G6&lt;=G26,G6&gt;G27),ROUND(H27+(H26-H27)/(G26-G27)*(G6-G27),H26),"Mindestanforderung nicht erfüllt")),"")</f>
        <v/>
      </c>
      <c r="H17" s="1172"/>
      <c r="I17" s="1164"/>
      <c r="K17" s="1170" t="s">
        <v>276</v>
      </c>
      <c r="L17" s="1171" t="str">
        <f>IF(ISNUMBER(L6),IF(L6&lt;=L27,M27,IF(AND(L6&lt;=L26,L6&gt;L27),ROUND(M27+(M26-M27)/(L26-L27)*(L6-L27),M26),"Mindestanforderung nicht erfüllt")),"")</f>
        <v/>
      </c>
      <c r="M17" s="1172"/>
      <c r="N17" s="1165"/>
    </row>
    <row r="18" spans="1:14" ht="24.75" customHeight="1" thickBot="1">
      <c r="A18" s="1174" t="s">
        <v>277</v>
      </c>
      <c r="B18" s="1175" t="str">
        <f>IF(AND(ISTEXT('Punktevergabe LNB'!E5),('Punktevergabe LNB'!E5="Neubau")),'B 1. '!G18,L18)</f>
        <v/>
      </c>
      <c r="C18" s="1173"/>
      <c r="D18" s="1136"/>
      <c r="E18" s="1134"/>
      <c r="F18" s="1170" t="s">
        <v>277</v>
      </c>
      <c r="G18" s="1175" t="str">
        <f>IF(ISNUMBER(G14),IF(G14&lt;=G29,H29,IF(AND(G14&lt;=G28,G14&gt;G29),ROUND(H29+(H28-H29)/(G28-G29)*(G14-G29),H28),"Mindestanforderung nicht erfüllt")),"")</f>
        <v/>
      </c>
      <c r="H18" s="1172"/>
      <c r="I18" s="1164"/>
      <c r="K18" s="1170" t="s">
        <v>277</v>
      </c>
      <c r="L18" s="1175" t="str">
        <f>IF(ISNUMBER(L14),IF(L14&lt;=L29,M29,IF(AND(L14&lt;=L28,L14&gt;L29),ROUND(M29+(M28-M29)/(L28-L29)*(L14-L29),M28),"Mindestanforderung nicht erfüllt")),"")</f>
        <v/>
      </c>
      <c r="M18" s="1172"/>
      <c r="N18" s="1165"/>
    </row>
    <row r="19" spans="1:14" ht="24.75" customHeight="1" thickBot="1">
      <c r="A19" s="1167" t="s">
        <v>309</v>
      </c>
      <c r="B19" s="1168" t="str">
        <f>IF(AND(ISTEXT('Punktevergabe LNB'!E5),('Punktevergabe LNB'!E5="Neubau")),'B 1. '!G19,L19)</f>
        <v/>
      </c>
      <c r="C19" s="1176"/>
      <c r="D19" s="1136"/>
      <c r="F19" s="1170" t="s">
        <v>261</v>
      </c>
      <c r="G19" s="1175" t="str">
        <f>IF(ISNUMBER(G15),IF(G15&lt;=G31,H31,IF(AND(G15&lt;=G30,G15&gt;G31),ROUND(H31+(H30-H31)/(G30-G31)*(G15-G31),H30),"Mindestanforderung nicht erfüllt")),"")</f>
        <v/>
      </c>
      <c r="H19" s="1147"/>
      <c r="K19" s="1170" t="s">
        <v>261</v>
      </c>
      <c r="L19" s="1175" t="str">
        <f>IF(ISNUMBER(L15),IF(L15&lt;=L31,M31,IF(AND(L15&lt;=L30,L15&gt;L31),ROUND(M31+(M30-M31)/(L30-L31)*(L15-L31),M30),"Mindestanforderung nicht erfüllt")),"")</f>
        <v/>
      </c>
      <c r="M19" s="1147"/>
    </row>
    <row r="20" spans="1:14">
      <c r="A20" s="1177"/>
      <c r="B20" s="1177"/>
      <c r="C20" s="1177"/>
    </row>
    <row r="22" spans="1:14" ht="14.5" thickBot="1"/>
    <row r="23" spans="1:14">
      <c r="F23" s="1178"/>
      <c r="G23" s="1179" t="s">
        <v>278</v>
      </c>
      <c r="H23" s="1180" t="s">
        <v>52</v>
      </c>
      <c r="K23" s="1178"/>
      <c r="L23" s="1179" t="s">
        <v>278</v>
      </c>
      <c r="M23" s="1180" t="s">
        <v>52</v>
      </c>
    </row>
    <row r="24" spans="1:14" ht="15.5">
      <c r="F24" s="1181" t="s">
        <v>279</v>
      </c>
      <c r="G24" s="1182">
        <v>45</v>
      </c>
      <c r="H24" s="1183">
        <v>0</v>
      </c>
      <c r="K24" s="1181" t="s">
        <v>279</v>
      </c>
      <c r="L24" s="1182">
        <v>58</v>
      </c>
      <c r="M24" s="1183">
        <v>0</v>
      </c>
    </row>
    <row r="25" spans="1:14" ht="15.5">
      <c r="F25" s="1181" t="s">
        <v>280</v>
      </c>
      <c r="G25" s="1182">
        <v>15</v>
      </c>
      <c r="H25" s="1183">
        <v>50</v>
      </c>
      <c r="K25" s="1181" t="s">
        <v>280</v>
      </c>
      <c r="L25" s="1182">
        <v>25</v>
      </c>
      <c r="M25" s="1183">
        <v>50</v>
      </c>
    </row>
    <row r="26" spans="1:14" ht="15.5">
      <c r="F26" s="1181" t="s">
        <v>282</v>
      </c>
      <c r="G26" s="1182">
        <v>5</v>
      </c>
      <c r="H26" s="1183">
        <v>0</v>
      </c>
      <c r="K26" s="1181" t="s">
        <v>282</v>
      </c>
      <c r="L26" s="1182">
        <v>10</v>
      </c>
      <c r="M26" s="1183">
        <v>0</v>
      </c>
    </row>
    <row r="27" spans="1:14" ht="15.5">
      <c r="F27" s="1181" t="s">
        <v>283</v>
      </c>
      <c r="G27" s="1182">
        <v>0</v>
      </c>
      <c r="H27" s="1183">
        <v>45</v>
      </c>
      <c r="K27" s="1181" t="s">
        <v>283</v>
      </c>
      <c r="L27" s="1182">
        <v>2</v>
      </c>
      <c r="M27" s="1183">
        <v>45</v>
      </c>
    </row>
    <row r="28" spans="1:14" ht="15.5">
      <c r="F28" s="1181" t="s">
        <v>285</v>
      </c>
      <c r="G28" s="1182">
        <v>180</v>
      </c>
      <c r="H28" s="1183">
        <v>0</v>
      </c>
      <c r="K28" s="1181" t="s">
        <v>285</v>
      </c>
      <c r="L28" s="1182">
        <v>200</v>
      </c>
      <c r="M28" s="1183">
        <v>0</v>
      </c>
    </row>
    <row r="29" spans="1:14" ht="15.5">
      <c r="F29" s="1181" t="s">
        <v>286</v>
      </c>
      <c r="G29" s="1182">
        <v>60</v>
      </c>
      <c r="H29" s="1183">
        <v>120</v>
      </c>
      <c r="K29" s="1181" t="s">
        <v>286</v>
      </c>
      <c r="L29" s="1182">
        <v>60</v>
      </c>
      <c r="M29" s="1183">
        <v>120</v>
      </c>
    </row>
    <row r="30" spans="1:14" ht="15.5">
      <c r="F30" s="1181" t="s">
        <v>287</v>
      </c>
      <c r="G30" s="1182">
        <v>35</v>
      </c>
      <c r="H30" s="1183">
        <v>0</v>
      </c>
      <c r="K30" s="1181" t="s">
        <v>287</v>
      </c>
      <c r="L30" s="1182">
        <v>45</v>
      </c>
      <c r="M30" s="1183">
        <v>0</v>
      </c>
    </row>
    <row r="31" spans="1:14" ht="16" thickBot="1">
      <c r="F31" s="1184" t="s">
        <v>288</v>
      </c>
      <c r="G31" s="1185">
        <v>25</v>
      </c>
      <c r="H31" s="1186">
        <v>135</v>
      </c>
      <c r="K31" s="1184" t="s">
        <v>288</v>
      </c>
      <c r="L31" s="1185">
        <v>28.5</v>
      </c>
      <c r="M31" s="1186">
        <v>135</v>
      </c>
    </row>
  </sheetData>
  <sheetProtection algorithmName="SHA-512" hashValue="srQ7SZ/Y+e9QO2HqioWhr9toquzD/6aFDfTNK1keOmobNJVGJNf10TGYKT/6MRWI8YqnZVXJZthF8iZeLcg1OA==" saltValue="b2MxHqgQyP6MASs3q78M1w==" spinCount="100000" sheet="1" objects="1" scenarios="1"/>
  <protectedRanges>
    <protectedRange sqref="D9" name="Bereich7"/>
    <protectedRange sqref="B9" name="Bereich6"/>
    <protectedRange sqref="B4:B8" name="Bereich1"/>
    <protectedRange sqref="B10" name="Bereich3"/>
    <protectedRange sqref="D14:D19 D4:D8" name="Bereich4"/>
    <protectedRange algorithmName="SHA-512" hashValue="ETaBPyQA4Eb2TmV3Dj0mR2/HjmxiuTt5JHzg7CybFs8uZbXPtMXyase2vmmI63yFD+Nbo+h2UD10//1W49cqqA==" saltValue="+Lija8fgdO9iKROkRYPyVQ==" spinCount="100000" sqref="D9" name="Bereich5"/>
  </protectedRanges>
  <mergeCells count="9">
    <mergeCell ref="A13:C13"/>
    <mergeCell ref="F13:H13"/>
    <mergeCell ref="K13:M13"/>
    <mergeCell ref="A1:C1"/>
    <mergeCell ref="F1:H1"/>
    <mergeCell ref="K1:M1"/>
    <mergeCell ref="A3:C3"/>
    <mergeCell ref="F3:H3"/>
    <mergeCell ref="K3:M3"/>
  </mergeCells>
  <dataValidations xWindow="1049" yWindow="432" count="1">
    <dataValidation allowBlank="1" showErrorMessage="1" sqref="B6" xr:uid="{8CDABBFB-8E3D-4BEA-8433-DC4067374778}"/>
  </dataValidations>
  <printOptions horizontalCentered="1"/>
  <pageMargins left="0.59055118110236227" right="0.59055118110236227" top="0.59055118110236227"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22">
    <pageSetUpPr fitToPage="1"/>
  </sheetPr>
  <dimension ref="A1:O33"/>
  <sheetViews>
    <sheetView zoomScale="80" zoomScaleNormal="80" workbookViewId="0">
      <selection activeCell="B9" sqref="B9"/>
    </sheetView>
  </sheetViews>
  <sheetFormatPr baseColWidth="10" defaultColWidth="11.36328125" defaultRowHeight="14"/>
  <cols>
    <col min="1" max="1" width="62.81640625" style="145" customWidth="1"/>
    <col min="2" max="2" width="23.6328125" style="145" customWidth="1"/>
    <col min="3" max="3" width="15.6328125" style="145" bestFit="1" customWidth="1"/>
    <col min="4" max="4" width="39.54296875" style="145" customWidth="1"/>
    <col min="5" max="5" width="5.08984375" style="145" customWidth="1"/>
    <col min="6" max="6" width="35.6328125" style="145" hidden="1" customWidth="1"/>
    <col min="7" max="7" width="16.08984375" style="145" hidden="1" customWidth="1"/>
    <col min="8" max="8" width="14.36328125" style="145" hidden="1" customWidth="1"/>
    <col min="9" max="9" width="17.36328125" style="145" hidden="1" customWidth="1"/>
    <col min="10" max="10" width="10.26953125" style="145" hidden="1" customWidth="1"/>
    <col min="11" max="11" width="35.6328125" style="145" hidden="1" customWidth="1"/>
    <col min="12" max="12" width="18" style="145" hidden="1" customWidth="1"/>
    <col min="13" max="13" width="12" style="145" hidden="1" customWidth="1"/>
    <col min="14" max="14" width="13.26953125" style="145" hidden="1" customWidth="1"/>
    <col min="15" max="15" width="12.6328125" style="145" customWidth="1"/>
    <col min="16" max="19" width="11.36328125" style="145" customWidth="1"/>
    <col min="20" max="16384" width="11.36328125" style="145"/>
  </cols>
  <sheetData>
    <row r="1" spans="1:15" s="115" customFormat="1" ht="53.25" customHeight="1" thickBot="1">
      <c r="A1" s="320" t="s">
        <v>773</v>
      </c>
      <c r="B1" s="114"/>
      <c r="C1" s="114"/>
      <c r="F1" s="1490" t="s">
        <v>250</v>
      </c>
      <c r="G1" s="1491"/>
      <c r="H1" s="1492"/>
      <c r="K1" s="1490" t="s">
        <v>251</v>
      </c>
      <c r="L1" s="1493"/>
      <c r="M1" s="1494"/>
    </row>
    <row r="2" spans="1:15" s="115" customFormat="1" ht="7.5" customHeight="1" thickBot="1">
      <c r="A2" s="116"/>
      <c r="B2" s="117"/>
      <c r="C2" s="118"/>
      <c r="D2" s="119"/>
    </row>
    <row r="3" spans="1:15" s="115" customFormat="1" ht="25" customHeight="1" thickBot="1">
      <c r="A3" s="905" t="str">
        <f>IF(ISTEXT('Punktevergabe LNB'!E5),CONCATENATE("Eingabefeld GEG ", ('Punktevergabe LNB'!E5),""))</f>
        <v>Eingabefeld GEG Neubau</v>
      </c>
      <c r="B3" s="906" t="s">
        <v>293</v>
      </c>
      <c r="C3" s="907"/>
      <c r="D3" s="894" t="s">
        <v>53</v>
      </c>
      <c r="F3" s="1495" t="s">
        <v>294</v>
      </c>
      <c r="G3" s="1496"/>
      <c r="H3" s="1497"/>
      <c r="I3" s="120" t="s">
        <v>53</v>
      </c>
      <c r="K3" s="1495" t="s">
        <v>295</v>
      </c>
      <c r="L3" s="1496"/>
      <c r="M3" s="1497"/>
      <c r="N3" s="120" t="s">
        <v>53</v>
      </c>
    </row>
    <row r="4" spans="1:15" s="123" customFormat="1" ht="25.5" customHeight="1">
      <c r="A4" s="1022" t="s">
        <v>296</v>
      </c>
      <c r="B4" s="1029"/>
      <c r="C4" s="1026" t="s">
        <v>297</v>
      </c>
      <c r="D4" s="297"/>
      <c r="F4" s="121" t="s">
        <v>296</v>
      </c>
      <c r="G4" s="124" t="str">
        <f t="shared" ref="G4:G9" si="0">IF(AND(ISNUMBER(B4)),B4,"")</f>
        <v/>
      </c>
      <c r="H4" s="122" t="s">
        <v>297</v>
      </c>
      <c r="I4" s="125"/>
      <c r="K4" s="121" t="s">
        <v>296</v>
      </c>
      <c r="L4" s="124" t="str">
        <f t="shared" ref="L4:L9" si="1">IF(AND(ISNUMBER(B4)),B4,"")</f>
        <v/>
      </c>
      <c r="M4" s="122" t="s">
        <v>297</v>
      </c>
      <c r="N4" s="125"/>
    </row>
    <row r="5" spans="1:15" s="123" customFormat="1" ht="25.5" customHeight="1">
      <c r="A5" s="1023" t="s">
        <v>711</v>
      </c>
      <c r="B5" s="1030"/>
      <c r="C5" s="1027" t="s">
        <v>271</v>
      </c>
      <c r="D5" s="298"/>
      <c r="F5" s="126" t="s">
        <v>298</v>
      </c>
      <c r="G5" s="124" t="str">
        <f t="shared" si="0"/>
        <v/>
      </c>
      <c r="H5" s="127" t="s">
        <v>271</v>
      </c>
      <c r="I5" s="125"/>
      <c r="K5" s="126" t="s">
        <v>298</v>
      </c>
      <c r="L5" s="124" t="str">
        <f t="shared" si="1"/>
        <v/>
      </c>
      <c r="M5" s="127" t="s">
        <v>271</v>
      </c>
      <c r="N5" s="125"/>
    </row>
    <row r="6" spans="1:15" s="123" customFormat="1" ht="25.5" customHeight="1">
      <c r="A6" s="1023" t="s">
        <v>482</v>
      </c>
      <c r="B6" s="1030"/>
      <c r="C6" s="1027" t="s">
        <v>271</v>
      </c>
      <c r="D6" s="298"/>
      <c r="F6" s="126" t="s">
        <v>299</v>
      </c>
      <c r="G6" s="124" t="str">
        <f t="shared" si="0"/>
        <v/>
      </c>
      <c r="H6" s="127" t="s">
        <v>271</v>
      </c>
      <c r="I6" s="128"/>
      <c r="K6" s="126" t="s">
        <v>299</v>
      </c>
      <c r="L6" s="124" t="str">
        <f t="shared" si="1"/>
        <v/>
      </c>
      <c r="M6" s="127" t="s">
        <v>271</v>
      </c>
      <c r="N6" s="128"/>
    </row>
    <row r="7" spans="1:15" s="123" customFormat="1" ht="25.5" customHeight="1">
      <c r="A7" s="1024" t="s">
        <v>300</v>
      </c>
      <c r="B7" s="1030"/>
      <c r="C7" s="1026" t="s">
        <v>271</v>
      </c>
      <c r="D7" s="299"/>
      <c r="F7" s="129" t="s">
        <v>300</v>
      </c>
      <c r="G7" s="124" t="str">
        <f t="shared" si="0"/>
        <v/>
      </c>
      <c r="H7" s="130" t="s">
        <v>271</v>
      </c>
      <c r="I7" s="131"/>
      <c r="K7" s="129" t="s">
        <v>300</v>
      </c>
      <c r="L7" s="124" t="str">
        <f t="shared" si="1"/>
        <v/>
      </c>
      <c r="M7" s="130" t="s">
        <v>271</v>
      </c>
      <c r="N7" s="131"/>
    </row>
    <row r="8" spans="1:15" s="123" customFormat="1" ht="25.5" hidden="1" customHeight="1">
      <c r="A8" s="1025" t="s">
        <v>710</v>
      </c>
      <c r="B8" s="1031"/>
      <c r="C8" s="1028" t="s">
        <v>271</v>
      </c>
      <c r="D8" s="299"/>
      <c r="F8" s="854" t="s">
        <v>710</v>
      </c>
      <c r="G8" s="853" t="str">
        <f>IF(AND(ISNUMBER(B8)),B8,"")</f>
        <v/>
      </c>
      <c r="H8" s="130" t="s">
        <v>271</v>
      </c>
      <c r="I8" s="131"/>
      <c r="K8" s="854" t="s">
        <v>710</v>
      </c>
      <c r="L8" s="853" t="str">
        <f>IF(AND(ISNUMBER(B8)),B8,"")</f>
        <v/>
      </c>
      <c r="M8" s="130" t="s">
        <v>271</v>
      </c>
      <c r="N8" s="131"/>
    </row>
    <row r="9" spans="1:15" s="123" customFormat="1" ht="25.5" customHeight="1" thickBot="1">
      <c r="A9" s="1095" t="s">
        <v>301</v>
      </c>
      <c r="B9" s="1032"/>
      <c r="C9" s="1096" t="s">
        <v>754</v>
      </c>
      <c r="D9" s="1063"/>
      <c r="F9" s="126" t="s">
        <v>301</v>
      </c>
      <c r="G9" s="124" t="str">
        <f t="shared" si="0"/>
        <v/>
      </c>
      <c r="H9" s="291" t="s">
        <v>274</v>
      </c>
      <c r="I9" s="290"/>
      <c r="K9" s="126" t="s">
        <v>301</v>
      </c>
      <c r="L9" s="124" t="str">
        <f t="shared" si="1"/>
        <v/>
      </c>
      <c r="M9" s="291" t="s">
        <v>274</v>
      </c>
      <c r="N9" s="290"/>
    </row>
    <row r="10" spans="1:15" s="123" customFormat="1" ht="12.5">
      <c r="A10" s="132"/>
      <c r="B10" s="133"/>
      <c r="C10" s="1094"/>
      <c r="D10" s="134"/>
    </row>
    <row r="11" spans="1:15" s="115" customFormat="1" ht="14.25" customHeight="1" thickBot="1">
      <c r="A11" s="135"/>
      <c r="C11" s="136"/>
    </row>
    <row r="12" spans="1:15" s="115" customFormat="1" ht="24.75" customHeight="1" thickBot="1">
      <c r="A12" s="902" t="s">
        <v>267</v>
      </c>
      <c r="B12" s="1485" t="s">
        <v>52</v>
      </c>
      <c r="C12" s="1486"/>
      <c r="D12" s="904" t="s">
        <v>53</v>
      </c>
      <c r="F12" s="1498" t="s">
        <v>268</v>
      </c>
      <c r="G12" s="1499"/>
      <c r="H12" s="1500"/>
      <c r="K12" s="1498" t="s">
        <v>269</v>
      </c>
      <c r="L12" s="1499"/>
      <c r="M12" s="1500"/>
    </row>
    <row r="13" spans="1:15" s="115" customFormat="1" ht="24.75" hidden="1" customHeight="1">
      <c r="A13" s="850" t="s">
        <v>302</v>
      </c>
      <c r="B13" s="903" t="str">
        <f>IF(AND(ISTEXT('Punktevergabe LNB'!E3),('Punktevergabe LNB'!E3="Neubau")),G13,L13)</f>
        <v/>
      </c>
      <c r="C13" s="855" t="s">
        <v>303</v>
      </c>
      <c r="D13" s="901"/>
      <c r="F13" s="129" t="s">
        <v>302</v>
      </c>
      <c r="G13" s="856" t="str">
        <f>IF(AND(ISNUMBER(G7),ISNUMBER(G8)),G7/G8,"")</f>
        <v/>
      </c>
      <c r="H13" s="130"/>
      <c r="K13" s="129" t="s">
        <v>302</v>
      </c>
      <c r="L13" s="856" t="str">
        <f>IF(AND(ISNUMBER(L7),ISNUMBER(L8)),L7/L8,"")</f>
        <v/>
      </c>
      <c r="M13" s="130"/>
      <c r="O13" s="115" t="s">
        <v>717</v>
      </c>
    </row>
    <row r="14" spans="1:15" s="820" customFormat="1" ht="25" hidden="1" customHeight="1">
      <c r="A14" s="818" t="s">
        <v>304</v>
      </c>
      <c r="B14" s="822" t="str">
        <f>IF(AND(ISTEXT('Punktevergabe LNB'!E4),('Punktevergabe LNB'!E4="Neubau")),G14,L14)</f>
        <v/>
      </c>
      <c r="C14" s="819" t="s">
        <v>271</v>
      </c>
      <c r="D14" s="298"/>
      <c r="F14" s="818" t="s">
        <v>304</v>
      </c>
      <c r="G14" s="823" t="str">
        <f>IF(AND(ISNUMBER(G7)),G7,"")</f>
        <v/>
      </c>
      <c r="H14" s="821"/>
      <c r="K14" s="818" t="s">
        <v>304</v>
      </c>
      <c r="L14" s="823" t="str">
        <f>IF(AND(ISNUMBER(L7)),L7,"")</f>
        <v/>
      </c>
      <c r="M14" s="821"/>
    </row>
    <row r="15" spans="1:15" s="123" customFormat="1" ht="25" hidden="1" customHeight="1" thickBot="1">
      <c r="A15" s="850" t="s">
        <v>305</v>
      </c>
      <c r="B15" s="851" t="str">
        <f>IF(AND(ISTEXT('Punktevergabe LNB'!E5),('Punktevergabe LNB'!E5="Neubau")),G15,L15)</f>
        <v/>
      </c>
      <c r="C15" s="852" t="s">
        <v>273</v>
      </c>
      <c r="D15" s="298"/>
      <c r="F15" s="129" t="s">
        <v>305</v>
      </c>
      <c r="G15" s="137" t="str">
        <f>IF(AND(ISNUMBER(G9)),G9,"")</f>
        <v/>
      </c>
      <c r="H15" s="127"/>
      <c r="K15" s="129" t="s">
        <v>305</v>
      </c>
      <c r="L15" s="137" t="str">
        <f>IF(AND(ISNUMBER(L9)),L9,"")</f>
        <v/>
      </c>
      <c r="M15" s="127"/>
    </row>
    <row r="16" spans="1:15" s="138" customFormat="1" ht="25" customHeight="1" thickBot="1">
      <c r="A16" s="1033" t="s">
        <v>306</v>
      </c>
      <c r="B16" s="1487" t="str">
        <f>IF(AND(ISTEXT('Punktevergabe LNB'!E5),('Punktevergabe LNB'!E5="Neubau")),G16,L16)</f>
        <v/>
      </c>
      <c r="C16" s="1488"/>
      <c r="D16" s="299"/>
      <c r="F16" s="139" t="s">
        <v>306</v>
      </c>
      <c r="G16" s="140" t="str">
        <f>IF(ISNUMBER(G5),IF(G5&lt;=G25,H25,IF(AND(G5&lt;=G24,G5&gt;G25),ROUND(0+((H25-H24)/(G25-G24))*(G5-G24),0),0)),"")</f>
        <v/>
      </c>
      <c r="H16" s="141"/>
      <c r="K16" s="139" t="s">
        <v>306</v>
      </c>
      <c r="L16" s="140" t="str">
        <f>IF(ISNUMBER(L5),IF(L5&lt;=L25,M25,IF(AND(L5&lt;=L24,L5&gt;L25),ROUND(0+((M25-M24)/(L25-L24))*(L5-L24),0),0)),"")</f>
        <v/>
      </c>
      <c r="M16" s="141"/>
    </row>
    <row r="17" spans="1:14" s="138" customFormat="1" ht="25" customHeight="1" thickBot="1">
      <c r="A17" s="1033" t="s">
        <v>307</v>
      </c>
      <c r="B17" s="1487" t="str">
        <f>IF(AND(ISTEXT('Punktevergabe LNB'!E5),('Punktevergabe LNB'!E5="Neubau")),G17,L17)</f>
        <v/>
      </c>
      <c r="C17" s="1488"/>
      <c r="D17" s="299"/>
      <c r="F17" s="143" t="s">
        <v>307</v>
      </c>
      <c r="G17" s="140" t="str">
        <f>IF(ISNUMBER(G6),IF(G6&lt;=G27,H27,IF(AND(G6&lt;=G26,G6&gt;G27),ROUND(0+((H27-H26)/(G27-G26))*(G6-G26),0),0)),"")</f>
        <v/>
      </c>
      <c r="H17" s="142"/>
      <c r="K17" s="143" t="s">
        <v>307</v>
      </c>
      <c r="L17" s="140" t="str">
        <f>IF(ISNUMBER(L6),IF(L6&lt;=L27,M27,IF(AND(L6&lt;=L26,L6&gt;L27),ROUND(0+((M27-M26)/(L27-L26))*(L6-L26),0),0)),"")</f>
        <v/>
      </c>
      <c r="M17" s="142"/>
    </row>
    <row r="18" spans="1:14" ht="25" customHeight="1" thickBot="1">
      <c r="A18" s="144" t="s">
        <v>308</v>
      </c>
      <c r="B18" s="1487" t="str">
        <f>IF(AND(ISTEXT('Punktevergabe LNB'!E5),('Punktevergabe LNB'!E5="Neubau")),G18,L18)</f>
        <v/>
      </c>
      <c r="C18" s="1488"/>
      <c r="D18" s="299"/>
      <c r="F18" s="144" t="s">
        <v>308</v>
      </c>
      <c r="G18" s="140" t="str">
        <f>IF(ISNUMBER(G7),IF(G7&lt;=G29,H29,IF(AND(G7&lt;=G28,G7&gt;G29),ROUND(H28+((H29-H28)/(G29-G28))*(G7-G28),0),0)),"")</f>
        <v/>
      </c>
      <c r="H18" s="146"/>
      <c r="K18" s="144" t="s">
        <v>308</v>
      </c>
      <c r="L18" s="140" t="str">
        <f>IF(ISNUMBER(L7),IF(L7&lt;=L29,M29,IF(AND(L7&lt;=L28,L7&gt;L29),ROUND(M28+((M29-M28)/(L29-L28))*(L7-L28),0),0)),"")</f>
        <v/>
      </c>
      <c r="M18" s="146"/>
    </row>
    <row r="19" spans="1:14" ht="25" customHeight="1" thickBot="1">
      <c r="A19" s="1034" t="s">
        <v>309</v>
      </c>
      <c r="B19" s="1489" t="str">
        <f>IF(AND(ISTEXT('Punktevergabe LNB'!E5),('Punktevergabe LNB'!E5="Neubau")),G19,L19)</f>
        <v/>
      </c>
      <c r="C19" s="1486"/>
      <c r="D19" s="299"/>
      <c r="F19" s="139" t="s">
        <v>309</v>
      </c>
      <c r="G19" s="140" t="str">
        <f>IF(ISNUMBER(G15),IF(G15&lt;=G31,H31,IF(AND(G15&lt;=G30,G15&gt;G31),ROUND(0+((H31-H30)/(G31-G30))*(G15-G30),0),0)),"")</f>
        <v/>
      </c>
      <c r="H19" s="147"/>
      <c r="K19" s="139" t="s">
        <v>309</v>
      </c>
      <c r="L19" s="140" t="str">
        <f>IF(ISNUMBER(L15),IF(L15&lt;=L31,M31,IF(AND(L15&lt;=L30,L15&gt;L31),ROUND(0+((M31-M30)/(L31-L30))*(L15-L30),0),0)),"")</f>
        <v/>
      </c>
      <c r="M19" s="147"/>
    </row>
    <row r="22" spans="1:14" ht="14.5" thickBot="1"/>
    <row r="23" spans="1:14">
      <c r="F23" s="148"/>
      <c r="G23" s="149" t="s">
        <v>278</v>
      </c>
      <c r="H23" s="150" t="s">
        <v>52</v>
      </c>
      <c r="K23" s="148"/>
      <c r="L23" s="149" t="s">
        <v>278</v>
      </c>
      <c r="M23" s="150" t="s">
        <v>52</v>
      </c>
    </row>
    <row r="24" spans="1:14" ht="15.5">
      <c r="F24" s="151" t="s">
        <v>310</v>
      </c>
      <c r="G24" s="152">
        <v>70</v>
      </c>
      <c r="H24" s="153">
        <v>0</v>
      </c>
      <c r="I24" s="154"/>
      <c r="K24" s="151" t="s">
        <v>310</v>
      </c>
      <c r="L24" s="152">
        <f>G24*$L$33</f>
        <v>84</v>
      </c>
      <c r="M24" s="153">
        <v>0</v>
      </c>
    </row>
    <row r="25" spans="1:14" ht="15.5">
      <c r="F25" s="151" t="s">
        <v>311</v>
      </c>
      <c r="G25" s="152">
        <v>25</v>
      </c>
      <c r="H25" s="317">
        <v>50</v>
      </c>
      <c r="I25" s="318" t="s">
        <v>281</v>
      </c>
      <c r="K25" s="151" t="s">
        <v>311</v>
      </c>
      <c r="L25" s="152">
        <f t="shared" ref="L25:L31" si="2">G25*$L$33</f>
        <v>30</v>
      </c>
      <c r="M25" s="317">
        <v>50</v>
      </c>
      <c r="N25" s="319" t="s">
        <v>281</v>
      </c>
    </row>
    <row r="26" spans="1:14" ht="15.5">
      <c r="F26" s="151" t="s">
        <v>312</v>
      </c>
      <c r="G26" s="152">
        <v>70</v>
      </c>
      <c r="H26" s="153">
        <v>0</v>
      </c>
      <c r="I26" s="154"/>
      <c r="K26" s="151" t="s">
        <v>312</v>
      </c>
      <c r="L26" s="152">
        <f t="shared" si="2"/>
        <v>84</v>
      </c>
      <c r="M26" s="153">
        <v>0</v>
      </c>
    </row>
    <row r="27" spans="1:14" ht="15.5">
      <c r="F27" s="151" t="s">
        <v>313</v>
      </c>
      <c r="G27" s="152">
        <v>25</v>
      </c>
      <c r="H27" s="317">
        <v>45</v>
      </c>
      <c r="I27" s="318" t="s">
        <v>284</v>
      </c>
      <c r="K27" s="151" t="s">
        <v>313</v>
      </c>
      <c r="L27" s="152">
        <f t="shared" si="2"/>
        <v>30</v>
      </c>
      <c r="M27" s="317">
        <v>45</v>
      </c>
      <c r="N27" s="318" t="s">
        <v>314</v>
      </c>
    </row>
    <row r="28" spans="1:14" ht="15.5">
      <c r="F28" s="151" t="s">
        <v>315</v>
      </c>
      <c r="G28" s="152">
        <v>120</v>
      </c>
      <c r="H28" s="153">
        <v>0</v>
      </c>
      <c r="I28" s="154"/>
      <c r="K28" s="151" t="s">
        <v>315</v>
      </c>
      <c r="L28" s="152">
        <f t="shared" si="2"/>
        <v>144</v>
      </c>
      <c r="M28" s="153">
        <v>0</v>
      </c>
    </row>
    <row r="29" spans="1:14" ht="15.5">
      <c r="F29" s="151" t="s">
        <v>316</v>
      </c>
      <c r="G29" s="152">
        <v>30</v>
      </c>
      <c r="H29" s="153">
        <v>120</v>
      </c>
      <c r="I29" s="154"/>
      <c r="K29" s="151" t="s">
        <v>316</v>
      </c>
      <c r="L29" s="152">
        <f t="shared" si="2"/>
        <v>36</v>
      </c>
      <c r="M29" s="153">
        <v>120</v>
      </c>
    </row>
    <row r="30" spans="1:14" ht="15.5">
      <c r="F30" s="151" t="s">
        <v>287</v>
      </c>
      <c r="G30" s="152">
        <v>35</v>
      </c>
      <c r="H30" s="153">
        <v>0</v>
      </c>
      <c r="I30" s="154"/>
      <c r="K30" s="151" t="s">
        <v>287</v>
      </c>
      <c r="L30" s="152">
        <f t="shared" si="2"/>
        <v>42</v>
      </c>
      <c r="M30" s="153">
        <v>0</v>
      </c>
    </row>
    <row r="31" spans="1:14" ht="16" thickBot="1">
      <c r="F31" s="155" t="s">
        <v>288</v>
      </c>
      <c r="G31" s="156">
        <v>25</v>
      </c>
      <c r="H31" s="157">
        <v>135</v>
      </c>
      <c r="I31" s="154"/>
      <c r="K31" s="155" t="s">
        <v>288</v>
      </c>
      <c r="L31" s="156">
        <f t="shared" si="2"/>
        <v>30</v>
      </c>
      <c r="M31" s="157">
        <v>135</v>
      </c>
    </row>
    <row r="32" spans="1:14" ht="14.5" thickBot="1"/>
    <row r="33" spans="11:12" ht="14.5" thickBot="1">
      <c r="K33" s="158" t="s">
        <v>317</v>
      </c>
      <c r="L33" s="159">
        <v>1.2</v>
      </c>
    </row>
  </sheetData>
  <sheetProtection algorithmName="SHA-512" hashValue="9FZ0y1/sx32zenc71/Z5QTmOP7Qcqfi1BQK5zTlgU44Uianhb0wpyVEFv04h5WYbDbmw6Ci38mbLkLcy9pnclg==" saltValue="s7TlMXE0RKaaqCCNGwgL4g==" spinCount="100000" sheet="1" selectLockedCells="1"/>
  <protectedRanges>
    <protectedRange sqref="B4:B7 B9" name="Bereich1"/>
    <protectedRange sqref="D9 D13:D16 D4:D7" name="Bereich2"/>
    <protectedRange sqref="B8" name="Bereich1_9"/>
    <protectedRange sqref="D8" name="Bereich2_9"/>
  </protectedRanges>
  <mergeCells count="11">
    <mergeCell ref="F1:H1"/>
    <mergeCell ref="K1:M1"/>
    <mergeCell ref="F3:H3"/>
    <mergeCell ref="K3:M3"/>
    <mergeCell ref="F12:H12"/>
    <mergeCell ref="K12:M12"/>
    <mergeCell ref="B12:C12"/>
    <mergeCell ref="B16:C16"/>
    <mergeCell ref="B17:C17"/>
    <mergeCell ref="B18:C18"/>
    <mergeCell ref="B19:C19"/>
  </mergeCells>
  <dataValidations xWindow="869" yWindow="374" count="1">
    <dataValidation allowBlank="1" showErrorMessage="1" sqref="B4:B9" xr:uid="{00000000-0002-0000-0B00-000000000000}"/>
  </dataValidations>
  <pageMargins left="0.59055118110236238" right="0.59055118110236238" top="0.59055118110236238" bottom="0.59055118110236238" header="0.31496062992125984" footer="0.31496062992125984"/>
  <pageSetup paperSize="9" scale="9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21">
    <pageSetUpPr fitToPage="1"/>
  </sheetPr>
  <dimension ref="B1:AB179"/>
  <sheetViews>
    <sheetView topLeftCell="B1" zoomScale="80" zoomScaleNormal="80" workbookViewId="0">
      <selection activeCell="O77" sqref="O77"/>
    </sheetView>
  </sheetViews>
  <sheetFormatPr baseColWidth="10" defaultColWidth="11.36328125" defaultRowHeight="14"/>
  <cols>
    <col min="1" max="1" width="11.36328125" style="223"/>
    <col min="2" max="28" width="11.26953125" style="223" customWidth="1"/>
    <col min="29" max="16384" width="11.36328125" style="223"/>
  </cols>
  <sheetData>
    <row r="1" spans="2:28" ht="14.5" thickBot="1"/>
    <row r="2" spans="2:28">
      <c r="B2" s="1501" t="s">
        <v>6</v>
      </c>
      <c r="C2" s="1502"/>
      <c r="D2" s="1503"/>
      <c r="E2" s="1503"/>
      <c r="F2" s="1503"/>
      <c r="G2" s="1503"/>
      <c r="H2" s="1503"/>
      <c r="I2" s="1503"/>
      <c r="J2" s="1503"/>
      <c r="K2" s="1503"/>
      <c r="L2" s="1503"/>
      <c r="M2" s="1503"/>
      <c r="N2" s="1504"/>
      <c r="P2" s="1508" t="s">
        <v>289</v>
      </c>
      <c r="Q2" s="1509"/>
      <c r="R2" s="1509"/>
      <c r="S2" s="1509"/>
      <c r="T2" s="1509"/>
      <c r="U2" s="1509"/>
      <c r="V2" s="1509"/>
      <c r="W2" s="1509"/>
      <c r="X2" s="1509"/>
      <c r="Y2" s="1509"/>
      <c r="Z2" s="1509"/>
      <c r="AA2" s="1509"/>
      <c r="AB2" s="1510"/>
    </row>
    <row r="3" spans="2:28" ht="14.5" thickBot="1">
      <c r="B3" s="1505"/>
      <c r="C3" s="1506"/>
      <c r="D3" s="1506"/>
      <c r="E3" s="1506"/>
      <c r="F3" s="1506"/>
      <c r="G3" s="1506"/>
      <c r="H3" s="1506"/>
      <c r="I3" s="1506"/>
      <c r="J3" s="1506"/>
      <c r="K3" s="1506"/>
      <c r="L3" s="1506"/>
      <c r="M3" s="1506"/>
      <c r="N3" s="1507"/>
      <c r="P3" s="1511"/>
      <c r="Q3" s="1512"/>
      <c r="R3" s="1512"/>
      <c r="S3" s="1512"/>
      <c r="T3" s="1512"/>
      <c r="U3" s="1512"/>
      <c r="V3" s="1512"/>
      <c r="W3" s="1512"/>
      <c r="X3" s="1512"/>
      <c r="Y3" s="1512"/>
      <c r="Z3" s="1512"/>
      <c r="AA3" s="1512"/>
      <c r="AB3" s="1513"/>
    </row>
    <row r="4" spans="2:28">
      <c r="B4" s="224"/>
      <c r="C4" s="224"/>
      <c r="D4" s="224"/>
      <c r="E4" s="224"/>
      <c r="F4" s="224"/>
      <c r="G4" s="224"/>
      <c r="H4" s="224"/>
      <c r="I4" s="224"/>
      <c r="J4" s="224"/>
      <c r="K4" s="224"/>
      <c r="L4" s="224"/>
      <c r="M4" s="224"/>
      <c r="N4" s="224"/>
      <c r="P4" s="225"/>
      <c r="Q4" s="225"/>
      <c r="R4" s="225"/>
      <c r="S4" s="225"/>
      <c r="T4" s="225"/>
      <c r="U4" s="225"/>
      <c r="V4" s="225"/>
      <c r="W4" s="225"/>
      <c r="X4" s="225"/>
      <c r="Y4" s="225"/>
      <c r="Z4" s="225"/>
      <c r="AA4" s="225"/>
      <c r="AB4" s="225"/>
    </row>
    <row r="5" spans="2:28">
      <c r="B5" s="224"/>
      <c r="C5" s="224"/>
      <c r="D5" s="224"/>
      <c r="E5" s="224"/>
      <c r="F5" s="224"/>
      <c r="G5" s="224"/>
      <c r="H5" s="224"/>
      <c r="I5" s="224"/>
      <c r="J5" s="224"/>
      <c r="K5" s="224"/>
      <c r="L5" s="224"/>
      <c r="M5" s="224"/>
      <c r="N5" s="224"/>
      <c r="P5" s="225"/>
      <c r="Q5" s="225"/>
      <c r="R5" s="225"/>
      <c r="S5" s="225"/>
      <c r="T5" s="225"/>
      <c r="U5" s="225"/>
      <c r="V5" s="225"/>
      <c r="W5" s="225"/>
      <c r="X5" s="225"/>
      <c r="Y5" s="225"/>
      <c r="Z5" s="225"/>
      <c r="AA5" s="225"/>
      <c r="AB5" s="225"/>
    </row>
    <row r="6" spans="2:28">
      <c r="B6" s="224"/>
      <c r="C6" s="224"/>
      <c r="D6" s="224"/>
      <c r="E6" s="224"/>
      <c r="F6" s="224"/>
      <c r="G6" s="224"/>
      <c r="H6" s="224"/>
      <c r="I6" s="224"/>
      <c r="J6" s="224"/>
      <c r="K6" s="224"/>
      <c r="L6" s="224"/>
      <c r="M6" s="224"/>
      <c r="N6" s="224"/>
      <c r="P6" s="225"/>
      <c r="Q6" s="225"/>
      <c r="R6" s="225"/>
      <c r="S6" s="225"/>
      <c r="T6" s="225"/>
      <c r="U6" s="225"/>
      <c r="V6" s="225"/>
      <c r="W6" s="225"/>
      <c r="X6" s="225"/>
      <c r="Y6" s="225"/>
      <c r="Z6" s="225"/>
      <c r="AA6" s="225"/>
      <c r="AB6" s="225"/>
    </row>
    <row r="7" spans="2:28">
      <c r="B7" s="224"/>
      <c r="C7" s="224"/>
      <c r="D7" s="224"/>
      <c r="E7" s="224"/>
      <c r="F7" s="224"/>
      <c r="G7" s="224"/>
      <c r="H7" s="224"/>
      <c r="I7" s="224"/>
      <c r="J7" s="224"/>
      <c r="K7" s="224"/>
      <c r="L7" s="224"/>
      <c r="M7" s="224"/>
      <c r="N7" s="224"/>
      <c r="P7" s="225"/>
      <c r="Q7" s="225"/>
      <c r="R7" s="225"/>
      <c r="S7" s="225"/>
      <c r="T7" s="225"/>
      <c r="U7" s="225"/>
      <c r="V7" s="225"/>
      <c r="W7" s="225"/>
      <c r="X7" s="225"/>
      <c r="Y7" s="225"/>
      <c r="Z7" s="225"/>
      <c r="AA7" s="225"/>
      <c r="AB7" s="225"/>
    </row>
    <row r="8" spans="2:28">
      <c r="B8" s="224"/>
      <c r="C8" s="224"/>
      <c r="D8" s="224"/>
      <c r="E8" s="224"/>
      <c r="F8" s="224"/>
      <c r="G8" s="224"/>
      <c r="H8" s="224"/>
      <c r="I8" s="224"/>
      <c r="J8" s="224"/>
      <c r="K8" s="224"/>
      <c r="L8" s="224"/>
      <c r="M8" s="224"/>
      <c r="N8" s="224"/>
      <c r="P8" s="225"/>
      <c r="Q8" s="225"/>
      <c r="R8" s="225"/>
      <c r="S8" s="225"/>
      <c r="T8" s="225"/>
      <c r="U8" s="225"/>
      <c r="V8" s="225"/>
      <c r="W8" s="225"/>
      <c r="X8" s="225"/>
      <c r="Y8" s="225"/>
      <c r="Z8" s="225"/>
      <c r="AA8" s="225"/>
      <c r="AB8" s="225"/>
    </row>
    <row r="9" spans="2:28">
      <c r="B9" s="224"/>
      <c r="C9" s="224"/>
      <c r="D9" s="224"/>
      <c r="E9" s="224"/>
      <c r="F9" s="224"/>
      <c r="G9" s="224"/>
      <c r="H9" s="224"/>
      <c r="I9" s="224"/>
      <c r="J9" s="224"/>
      <c r="K9" s="224"/>
      <c r="L9" s="224"/>
      <c r="M9" s="224"/>
      <c r="N9" s="224"/>
      <c r="P9" s="225"/>
      <c r="Q9" s="225"/>
      <c r="R9" s="225"/>
      <c r="S9" s="225"/>
      <c r="T9" s="225"/>
      <c r="U9" s="225"/>
      <c r="V9" s="225"/>
      <c r="W9" s="225"/>
      <c r="X9" s="225"/>
      <c r="Y9" s="225"/>
      <c r="Z9" s="225"/>
      <c r="AA9" s="225"/>
      <c r="AB9" s="225"/>
    </row>
    <row r="10" spans="2:28">
      <c r="B10" s="224"/>
      <c r="C10" s="224"/>
      <c r="D10" s="224"/>
      <c r="E10" s="224"/>
      <c r="F10" s="224"/>
      <c r="G10" s="224"/>
      <c r="H10" s="224"/>
      <c r="I10" s="224"/>
      <c r="J10" s="224"/>
      <c r="K10" s="224"/>
      <c r="L10" s="224"/>
      <c r="M10" s="224"/>
      <c r="N10" s="224"/>
      <c r="P10" s="225"/>
      <c r="Q10" s="225"/>
      <c r="R10" s="225"/>
      <c r="S10" s="225"/>
      <c r="T10" s="225"/>
      <c r="U10" s="225"/>
      <c r="V10" s="225"/>
      <c r="W10" s="225"/>
      <c r="X10" s="225"/>
      <c r="Y10" s="225"/>
      <c r="Z10" s="225"/>
      <c r="AA10" s="225"/>
      <c r="AB10" s="225"/>
    </row>
    <row r="11" spans="2:28">
      <c r="B11" s="224"/>
      <c r="C11" s="224"/>
      <c r="D11" s="224"/>
      <c r="E11" s="224"/>
      <c r="F11" s="224"/>
      <c r="G11" s="224"/>
      <c r="H11" s="224"/>
      <c r="I11" s="224"/>
      <c r="J11" s="224"/>
      <c r="K11" s="224"/>
      <c r="L11" s="224"/>
      <c r="M11" s="224"/>
      <c r="N11" s="224"/>
      <c r="P11" s="225"/>
      <c r="Q11" s="225"/>
      <c r="R11" s="225"/>
      <c r="S11" s="225"/>
      <c r="T11" s="225"/>
      <c r="U11" s="225"/>
      <c r="V11" s="225"/>
      <c r="W11" s="225"/>
      <c r="X11" s="225"/>
      <c r="Y11" s="225"/>
      <c r="Z11" s="225"/>
      <c r="AA11" s="225"/>
      <c r="AB11" s="225"/>
    </row>
    <row r="12" spans="2:28">
      <c r="B12" s="224"/>
      <c r="C12" s="224"/>
      <c r="D12" s="224"/>
      <c r="E12" s="224"/>
      <c r="F12" s="224"/>
      <c r="G12" s="224"/>
      <c r="H12" s="224"/>
      <c r="I12" s="224"/>
      <c r="J12" s="224"/>
      <c r="K12" s="224"/>
      <c r="L12" s="224"/>
      <c r="M12" s="224"/>
      <c r="N12" s="224"/>
      <c r="P12" s="225"/>
      <c r="Q12" s="225"/>
      <c r="R12" s="225"/>
      <c r="S12" s="225"/>
      <c r="T12" s="225"/>
      <c r="U12" s="225"/>
      <c r="V12" s="225"/>
      <c r="W12" s="225"/>
      <c r="X12" s="225"/>
      <c r="Y12" s="225"/>
      <c r="Z12" s="225"/>
      <c r="AA12" s="225"/>
      <c r="AB12" s="225"/>
    </row>
    <row r="13" spans="2:28">
      <c r="B13" s="224"/>
      <c r="C13" s="224"/>
      <c r="D13" s="224"/>
      <c r="E13" s="224"/>
      <c r="F13" s="224"/>
      <c r="G13" s="224"/>
      <c r="H13" s="224"/>
      <c r="I13" s="224"/>
      <c r="J13" s="224"/>
      <c r="K13" s="224"/>
      <c r="L13" s="224"/>
      <c r="M13" s="224"/>
      <c r="N13" s="224"/>
      <c r="P13" s="225"/>
      <c r="Q13" s="225"/>
      <c r="R13" s="225"/>
      <c r="S13" s="225"/>
      <c r="T13" s="225"/>
      <c r="U13" s="225"/>
      <c r="V13" s="225"/>
      <c r="W13" s="225"/>
      <c r="X13" s="225"/>
      <c r="Y13" s="225"/>
      <c r="Z13" s="225"/>
      <c r="AA13" s="225"/>
      <c r="AB13" s="225"/>
    </row>
    <row r="14" spans="2:28">
      <c r="B14" s="224"/>
      <c r="C14" s="224"/>
      <c r="D14" s="224"/>
      <c r="E14" s="224"/>
      <c r="F14" s="224"/>
      <c r="G14" s="224"/>
      <c r="H14" s="224"/>
      <c r="I14" s="224"/>
      <c r="J14" s="224"/>
      <c r="K14" s="224"/>
      <c r="L14" s="224"/>
      <c r="M14" s="224"/>
      <c r="N14" s="224"/>
      <c r="P14" s="225"/>
      <c r="Q14" s="225"/>
      <c r="R14" s="225"/>
      <c r="S14" s="225"/>
      <c r="T14" s="225"/>
      <c r="U14" s="225"/>
      <c r="V14" s="225"/>
      <c r="W14" s="225"/>
      <c r="X14" s="225"/>
      <c r="Y14" s="225"/>
      <c r="Z14" s="225"/>
      <c r="AA14" s="225"/>
      <c r="AB14" s="225"/>
    </row>
    <row r="15" spans="2:28">
      <c r="B15" s="224"/>
      <c r="C15" s="224"/>
      <c r="D15" s="224"/>
      <c r="E15" s="224"/>
      <c r="F15" s="224"/>
      <c r="G15" s="224"/>
      <c r="H15" s="224"/>
      <c r="I15" s="224"/>
      <c r="J15" s="224"/>
      <c r="K15" s="224"/>
      <c r="L15" s="224"/>
      <c r="M15" s="224"/>
      <c r="N15" s="224"/>
      <c r="P15" s="225"/>
      <c r="Q15" s="225"/>
      <c r="R15" s="225"/>
      <c r="S15" s="225"/>
      <c r="T15" s="225"/>
      <c r="U15" s="225"/>
      <c r="V15" s="225"/>
      <c r="W15" s="225"/>
      <c r="X15" s="225"/>
      <c r="Y15" s="225"/>
      <c r="Z15" s="225"/>
      <c r="AA15" s="225"/>
      <c r="AB15" s="225"/>
    </row>
    <row r="16" spans="2:28">
      <c r="B16" s="224"/>
      <c r="C16" s="224"/>
      <c r="D16" s="224"/>
      <c r="E16" s="224"/>
      <c r="F16" s="224"/>
      <c r="G16" s="224"/>
      <c r="H16" s="224"/>
      <c r="I16" s="224"/>
      <c r="J16" s="224"/>
      <c r="K16" s="224"/>
      <c r="L16" s="224"/>
      <c r="M16" s="224"/>
      <c r="N16" s="224"/>
      <c r="P16" s="225"/>
      <c r="Q16" s="225"/>
      <c r="R16" s="225"/>
      <c r="S16" s="225"/>
      <c r="T16" s="225"/>
      <c r="U16" s="225"/>
      <c r="V16" s="225"/>
      <c r="W16" s="225"/>
      <c r="X16" s="225"/>
      <c r="Y16" s="225"/>
      <c r="Z16" s="225"/>
      <c r="AA16" s="225"/>
      <c r="AB16" s="225"/>
    </row>
    <row r="17" spans="2:28">
      <c r="B17" s="224"/>
      <c r="C17" s="224"/>
      <c r="D17" s="224"/>
      <c r="E17" s="224"/>
      <c r="F17" s="224"/>
      <c r="G17" s="224"/>
      <c r="H17" s="224"/>
      <c r="I17" s="224"/>
      <c r="J17" s="224"/>
      <c r="K17" s="224"/>
      <c r="L17" s="224"/>
      <c r="M17" s="224"/>
      <c r="N17" s="224"/>
      <c r="P17" s="225"/>
      <c r="Q17" s="225"/>
      <c r="R17" s="225"/>
      <c r="S17" s="225"/>
      <c r="T17" s="225"/>
      <c r="U17" s="225"/>
      <c r="V17" s="225"/>
      <c r="W17" s="225"/>
      <c r="X17" s="225"/>
      <c r="Y17" s="225"/>
      <c r="Z17" s="225"/>
      <c r="AA17" s="225"/>
      <c r="AB17" s="225"/>
    </row>
    <row r="18" spans="2:28">
      <c r="B18" s="224"/>
      <c r="C18" s="224"/>
      <c r="D18" s="224"/>
      <c r="E18" s="224"/>
      <c r="F18" s="224"/>
      <c r="G18" s="224"/>
      <c r="H18" s="224"/>
      <c r="I18" s="224"/>
      <c r="J18" s="224"/>
      <c r="K18" s="224"/>
      <c r="L18" s="224"/>
      <c r="M18" s="224"/>
      <c r="N18" s="224"/>
      <c r="P18" s="225"/>
      <c r="Q18" s="225"/>
      <c r="R18" s="225"/>
      <c r="S18" s="225"/>
      <c r="T18" s="225"/>
      <c r="U18" s="225"/>
      <c r="V18" s="225"/>
      <c r="W18" s="225"/>
      <c r="X18" s="225"/>
      <c r="Y18" s="225"/>
      <c r="Z18" s="225"/>
      <c r="AA18" s="225"/>
      <c r="AB18" s="225"/>
    </row>
    <row r="19" spans="2:28">
      <c r="B19" s="224"/>
      <c r="C19" s="224"/>
      <c r="D19" s="224"/>
      <c r="E19" s="224"/>
      <c r="F19" s="224"/>
      <c r="G19" s="224"/>
      <c r="H19" s="224"/>
      <c r="I19" s="224"/>
      <c r="J19" s="224"/>
      <c r="K19" s="224"/>
      <c r="L19" s="224"/>
      <c r="M19" s="224"/>
      <c r="N19" s="224"/>
      <c r="P19" s="225"/>
      <c r="Q19" s="225"/>
      <c r="R19" s="225"/>
      <c r="S19" s="225"/>
      <c r="T19" s="225"/>
      <c r="U19" s="225"/>
      <c r="V19" s="225"/>
      <c r="W19" s="225"/>
      <c r="X19" s="225"/>
      <c r="Y19" s="225"/>
      <c r="Z19" s="225"/>
      <c r="AA19" s="225"/>
      <c r="AB19" s="225"/>
    </row>
    <row r="20" spans="2:28">
      <c r="B20" s="224"/>
      <c r="C20" s="224"/>
      <c r="D20" s="224"/>
      <c r="E20" s="224"/>
      <c r="F20" s="224"/>
      <c r="G20" s="224"/>
      <c r="H20" s="224"/>
      <c r="I20" s="224"/>
      <c r="J20" s="224"/>
      <c r="K20" s="224"/>
      <c r="L20" s="224"/>
      <c r="M20" s="224"/>
      <c r="N20" s="224"/>
      <c r="P20" s="225"/>
      <c r="Q20" s="225"/>
      <c r="R20" s="225"/>
      <c r="S20" s="225"/>
      <c r="T20" s="225"/>
      <c r="U20" s="225"/>
      <c r="V20" s="225"/>
      <c r="W20" s="225"/>
      <c r="X20" s="225"/>
      <c r="Y20" s="225"/>
      <c r="Z20" s="225"/>
      <c r="AA20" s="225"/>
      <c r="AB20" s="225"/>
    </row>
    <row r="21" spans="2:28">
      <c r="B21" s="224"/>
      <c r="C21" s="224"/>
      <c r="D21" s="224"/>
      <c r="E21" s="224"/>
      <c r="F21" s="224"/>
      <c r="G21" s="224"/>
      <c r="H21" s="224"/>
      <c r="I21" s="224"/>
      <c r="J21" s="224"/>
      <c r="K21" s="224"/>
      <c r="L21" s="224"/>
      <c r="M21" s="224"/>
      <c r="N21" s="224"/>
      <c r="P21" s="225"/>
      <c r="Q21" s="225"/>
      <c r="R21" s="225"/>
      <c r="S21" s="225"/>
      <c r="T21" s="225"/>
      <c r="U21" s="225"/>
      <c r="V21" s="225"/>
      <c r="W21" s="225"/>
      <c r="X21" s="225"/>
      <c r="Y21" s="225"/>
      <c r="Z21" s="225"/>
      <c r="AA21" s="225"/>
      <c r="AB21" s="225"/>
    </row>
    <row r="22" spans="2:28">
      <c r="B22" s="224"/>
      <c r="C22" s="224"/>
      <c r="D22" s="224"/>
      <c r="E22" s="224"/>
      <c r="F22" s="224"/>
      <c r="G22" s="224"/>
      <c r="H22" s="224"/>
      <c r="I22" s="224"/>
      <c r="J22" s="224"/>
      <c r="K22" s="224"/>
      <c r="L22" s="224"/>
      <c r="M22" s="224"/>
      <c r="N22" s="224"/>
      <c r="P22" s="225"/>
      <c r="Q22" s="225"/>
      <c r="R22" s="225"/>
      <c r="S22" s="225"/>
      <c r="T22" s="225"/>
      <c r="U22" s="225"/>
      <c r="V22" s="225"/>
      <c r="W22" s="225"/>
      <c r="X22" s="225"/>
      <c r="Y22" s="225"/>
      <c r="Z22" s="225"/>
      <c r="AA22" s="225"/>
      <c r="AB22" s="225"/>
    </row>
    <row r="23" spans="2:28">
      <c r="B23" s="224"/>
      <c r="C23" s="224"/>
      <c r="D23" s="224"/>
      <c r="E23" s="224"/>
      <c r="F23" s="224"/>
      <c r="G23" s="224"/>
      <c r="H23" s="224"/>
      <c r="I23" s="224"/>
      <c r="J23" s="224"/>
      <c r="K23" s="224"/>
      <c r="L23" s="224"/>
      <c r="M23" s="224"/>
      <c r="N23" s="224"/>
      <c r="P23" s="225"/>
      <c r="Q23" s="225"/>
      <c r="R23" s="225"/>
      <c r="S23" s="225"/>
      <c r="T23" s="225"/>
      <c r="U23" s="225"/>
      <c r="V23" s="225"/>
      <c r="W23" s="225"/>
      <c r="X23" s="225"/>
      <c r="Y23" s="225"/>
      <c r="Z23" s="225"/>
      <c r="AA23" s="225"/>
      <c r="AB23" s="225"/>
    </row>
    <row r="24" spans="2:28">
      <c r="B24" s="224"/>
      <c r="C24" s="224"/>
      <c r="D24" s="224"/>
      <c r="E24" s="224"/>
      <c r="F24" s="224"/>
      <c r="G24" s="224"/>
      <c r="H24" s="224"/>
      <c r="I24" s="224"/>
      <c r="J24" s="224"/>
      <c r="K24" s="224"/>
      <c r="L24" s="224"/>
      <c r="M24" s="224"/>
      <c r="N24" s="224"/>
      <c r="P24" s="225"/>
      <c r="Q24" s="225"/>
      <c r="R24" s="225"/>
      <c r="S24" s="225"/>
      <c r="T24" s="225"/>
      <c r="U24" s="225"/>
      <c r="V24" s="225"/>
      <c r="W24" s="225"/>
      <c r="X24" s="225"/>
      <c r="Y24" s="225"/>
      <c r="Z24" s="225"/>
      <c r="AA24" s="225"/>
      <c r="AB24" s="225"/>
    </row>
    <row r="25" spans="2:28">
      <c r="B25" s="224"/>
      <c r="C25" s="224"/>
      <c r="D25" s="224"/>
      <c r="E25" s="224"/>
      <c r="F25" s="224"/>
      <c r="G25" s="224"/>
      <c r="H25" s="224"/>
      <c r="I25" s="224"/>
      <c r="J25" s="224"/>
      <c r="K25" s="224"/>
      <c r="L25" s="224"/>
      <c r="M25" s="224"/>
      <c r="N25" s="224"/>
      <c r="P25" s="225"/>
      <c r="Q25" s="225"/>
      <c r="R25" s="225"/>
      <c r="S25" s="225"/>
      <c r="T25" s="225"/>
      <c r="U25" s="225"/>
      <c r="V25" s="225"/>
      <c r="W25" s="225"/>
      <c r="X25" s="225"/>
      <c r="Y25" s="225"/>
      <c r="Z25" s="225"/>
      <c r="AA25" s="225"/>
      <c r="AB25" s="225"/>
    </row>
    <row r="26" spans="2:28">
      <c r="B26" s="224"/>
      <c r="C26" s="224"/>
      <c r="D26" s="224"/>
      <c r="E26" s="224"/>
      <c r="F26" s="224"/>
      <c r="G26" s="224"/>
      <c r="H26" s="224"/>
      <c r="I26" s="224"/>
      <c r="J26" s="224"/>
      <c r="K26" s="224"/>
      <c r="L26" s="224"/>
      <c r="M26" s="224"/>
      <c r="N26" s="224"/>
      <c r="P26" s="225"/>
      <c r="Q26" s="225"/>
      <c r="R26" s="225"/>
      <c r="S26" s="225"/>
      <c r="T26" s="225"/>
      <c r="U26" s="225"/>
      <c r="V26" s="225"/>
      <c r="W26" s="225"/>
      <c r="X26" s="225"/>
      <c r="Y26" s="225"/>
      <c r="Z26" s="225"/>
      <c r="AA26" s="225"/>
      <c r="AB26" s="225"/>
    </row>
    <row r="27" spans="2:28">
      <c r="B27" s="224"/>
      <c r="C27" s="224"/>
      <c r="D27" s="224"/>
      <c r="E27" s="224"/>
      <c r="F27" s="224"/>
      <c r="G27" s="224"/>
      <c r="H27" s="224"/>
      <c r="I27" s="224"/>
      <c r="J27" s="224"/>
      <c r="K27" s="224"/>
      <c r="L27" s="224"/>
      <c r="M27" s="224"/>
      <c r="N27" s="224"/>
      <c r="P27" s="225"/>
      <c r="Q27" s="225"/>
      <c r="R27" s="225"/>
      <c r="S27" s="225"/>
      <c r="T27" s="225"/>
      <c r="U27" s="225"/>
      <c r="V27" s="225"/>
      <c r="W27" s="225"/>
      <c r="X27" s="225"/>
      <c r="Y27" s="225"/>
      <c r="Z27" s="225"/>
      <c r="AA27" s="225"/>
      <c r="AB27" s="225"/>
    </row>
    <row r="28" spans="2:28">
      <c r="B28" s="224"/>
      <c r="C28" s="224"/>
      <c r="D28" s="224"/>
      <c r="E28" s="224"/>
      <c r="F28" s="224"/>
      <c r="G28" s="224"/>
      <c r="H28" s="224"/>
      <c r="I28" s="224"/>
      <c r="J28" s="224"/>
      <c r="K28" s="224"/>
      <c r="L28" s="224"/>
      <c r="M28" s="224"/>
      <c r="N28" s="224"/>
      <c r="P28" s="225"/>
      <c r="Q28" s="225"/>
      <c r="R28" s="225"/>
      <c r="S28" s="225"/>
      <c r="T28" s="225"/>
      <c r="U28" s="225"/>
      <c r="V28" s="225"/>
      <c r="W28" s="225"/>
      <c r="X28" s="225"/>
      <c r="Y28" s="225"/>
      <c r="Z28" s="225"/>
      <c r="AA28" s="225"/>
      <c r="AB28" s="225"/>
    </row>
    <row r="29" spans="2:28">
      <c r="B29" s="224"/>
      <c r="C29" s="224"/>
      <c r="D29" s="224"/>
      <c r="E29" s="224"/>
      <c r="F29" s="224"/>
      <c r="G29" s="224"/>
      <c r="H29" s="224"/>
      <c r="I29" s="224"/>
      <c r="J29" s="224"/>
      <c r="K29" s="224"/>
      <c r="L29" s="224"/>
      <c r="M29" s="224"/>
      <c r="N29" s="224"/>
      <c r="P29" s="225"/>
      <c r="Q29" s="225"/>
      <c r="R29" s="225"/>
      <c r="S29" s="225"/>
      <c r="T29" s="225"/>
      <c r="U29" s="225"/>
      <c r="V29" s="225"/>
      <c r="W29" s="225"/>
      <c r="X29" s="225"/>
      <c r="Y29" s="225"/>
      <c r="Z29" s="225"/>
      <c r="AA29" s="225"/>
      <c r="AB29" s="225"/>
    </row>
    <row r="30" spans="2:28">
      <c r="B30" s="224"/>
      <c r="C30" s="224"/>
      <c r="D30" s="224"/>
      <c r="E30" s="224"/>
      <c r="F30" s="224"/>
      <c r="G30" s="224"/>
      <c r="H30" s="224"/>
      <c r="I30" s="224"/>
      <c r="J30" s="224"/>
      <c r="K30" s="224"/>
      <c r="L30" s="224"/>
      <c r="M30" s="224"/>
      <c r="N30" s="224"/>
      <c r="P30" s="225"/>
      <c r="Q30" s="225"/>
      <c r="R30" s="225"/>
      <c r="S30" s="225"/>
      <c r="T30" s="225"/>
      <c r="U30" s="225"/>
      <c r="V30" s="225"/>
      <c r="W30" s="225"/>
      <c r="X30" s="225"/>
      <c r="Y30" s="225"/>
      <c r="Z30" s="225"/>
      <c r="AA30" s="225"/>
      <c r="AB30" s="225"/>
    </row>
    <row r="31" spans="2:28">
      <c r="B31" s="224"/>
      <c r="C31" s="224"/>
      <c r="D31" s="224"/>
      <c r="E31" s="224"/>
      <c r="F31" s="224"/>
      <c r="G31" s="224"/>
      <c r="H31" s="224"/>
      <c r="I31" s="224"/>
      <c r="J31" s="224"/>
      <c r="K31" s="224"/>
      <c r="L31" s="224"/>
      <c r="M31" s="224"/>
      <c r="N31" s="224"/>
      <c r="P31" s="225"/>
      <c r="Q31" s="225"/>
      <c r="R31" s="225"/>
      <c r="S31" s="225"/>
      <c r="T31" s="225"/>
      <c r="U31" s="225"/>
      <c r="V31" s="225"/>
      <c r="W31" s="225"/>
      <c r="X31" s="225"/>
      <c r="Y31" s="225"/>
      <c r="Z31" s="225"/>
      <c r="AA31" s="225"/>
      <c r="AB31" s="225"/>
    </row>
    <row r="32" spans="2:28">
      <c r="B32" s="224"/>
      <c r="C32" s="224"/>
      <c r="D32" s="224"/>
      <c r="E32" s="224"/>
      <c r="F32" s="224"/>
      <c r="G32" s="224"/>
      <c r="H32" s="224"/>
      <c r="I32" s="224"/>
      <c r="J32" s="224"/>
      <c r="K32" s="224"/>
      <c r="L32" s="224"/>
      <c r="M32" s="224"/>
      <c r="N32" s="224"/>
      <c r="P32" s="225"/>
      <c r="Q32" s="225"/>
      <c r="R32" s="225"/>
      <c r="S32" s="225"/>
      <c r="T32" s="225"/>
      <c r="U32" s="225"/>
      <c r="V32" s="225"/>
      <c r="W32" s="225"/>
      <c r="X32" s="225"/>
      <c r="Y32" s="225"/>
      <c r="Z32" s="225"/>
      <c r="AA32" s="225"/>
      <c r="AB32" s="225"/>
    </row>
    <row r="33" spans="2:28">
      <c r="B33" s="224"/>
      <c r="C33" s="224"/>
      <c r="D33" s="224"/>
      <c r="E33" s="224"/>
      <c r="F33" s="224"/>
      <c r="G33" s="224"/>
      <c r="H33" s="224"/>
      <c r="I33" s="224"/>
      <c r="J33" s="224"/>
      <c r="K33" s="224"/>
      <c r="L33" s="224"/>
      <c r="M33" s="224"/>
      <c r="N33" s="224"/>
      <c r="P33" s="225"/>
      <c r="Q33" s="225"/>
      <c r="R33" s="225"/>
      <c r="S33" s="225"/>
      <c r="T33" s="225"/>
      <c r="U33" s="225"/>
      <c r="V33" s="225"/>
      <c r="W33" s="225"/>
      <c r="X33" s="225"/>
      <c r="Y33" s="225"/>
      <c r="Z33" s="225"/>
      <c r="AA33" s="225"/>
      <c r="AB33" s="225"/>
    </row>
    <row r="34" spans="2:28">
      <c r="B34" s="224"/>
      <c r="C34" s="224"/>
      <c r="D34" s="224"/>
      <c r="E34" s="224"/>
      <c r="F34" s="224"/>
      <c r="G34" s="224"/>
      <c r="H34" s="224"/>
      <c r="I34" s="224"/>
      <c r="J34" s="224"/>
      <c r="K34" s="224"/>
      <c r="L34" s="224"/>
      <c r="M34" s="224"/>
      <c r="N34" s="224"/>
      <c r="P34" s="225"/>
      <c r="Q34" s="225"/>
      <c r="R34" s="225"/>
      <c r="S34" s="225"/>
      <c r="T34" s="225"/>
      <c r="U34" s="225"/>
      <c r="V34" s="225"/>
      <c r="W34" s="225"/>
      <c r="X34" s="225"/>
      <c r="Y34" s="225"/>
      <c r="Z34" s="225"/>
      <c r="AA34" s="225"/>
      <c r="AB34" s="225"/>
    </row>
    <row r="35" spans="2:28">
      <c r="B35" s="224"/>
      <c r="C35" s="224"/>
      <c r="D35" s="224"/>
      <c r="E35" s="224"/>
      <c r="F35" s="224"/>
      <c r="G35" s="224"/>
      <c r="H35" s="224"/>
      <c r="I35" s="224"/>
      <c r="J35" s="224"/>
      <c r="K35" s="224"/>
      <c r="L35" s="224"/>
      <c r="M35" s="224"/>
      <c r="N35" s="224"/>
      <c r="P35" s="225"/>
      <c r="Q35" s="225"/>
      <c r="R35" s="225"/>
      <c r="S35" s="225"/>
      <c r="T35" s="225"/>
      <c r="U35" s="225"/>
      <c r="V35" s="225"/>
      <c r="W35" s="225"/>
      <c r="X35" s="225"/>
      <c r="Y35" s="225"/>
      <c r="Z35" s="225"/>
      <c r="AA35" s="225"/>
      <c r="AB35" s="225"/>
    </row>
    <row r="36" spans="2:28">
      <c r="B36" s="224"/>
      <c r="C36" s="224"/>
      <c r="D36" s="224"/>
      <c r="E36" s="224"/>
      <c r="F36" s="224"/>
      <c r="G36" s="224"/>
      <c r="H36" s="224"/>
      <c r="I36" s="224"/>
      <c r="J36" s="224"/>
      <c r="K36" s="224"/>
      <c r="L36" s="224"/>
      <c r="M36" s="224"/>
      <c r="N36" s="224"/>
      <c r="P36" s="225"/>
      <c r="Q36" s="225"/>
      <c r="R36" s="225"/>
      <c r="S36" s="225"/>
      <c r="T36" s="225"/>
      <c r="U36" s="225"/>
      <c r="V36" s="225"/>
      <c r="W36" s="225"/>
      <c r="X36" s="225"/>
      <c r="Y36" s="225"/>
      <c r="Z36" s="225"/>
      <c r="AA36" s="225"/>
      <c r="AB36" s="225"/>
    </row>
    <row r="37" spans="2:28">
      <c r="B37" s="224"/>
      <c r="C37" s="224"/>
      <c r="D37" s="224"/>
      <c r="E37" s="224"/>
      <c r="F37" s="224"/>
      <c r="G37" s="224"/>
      <c r="H37" s="224"/>
      <c r="I37" s="224"/>
      <c r="J37" s="224"/>
      <c r="K37" s="224"/>
      <c r="L37" s="224"/>
      <c r="M37" s="224"/>
      <c r="N37" s="224"/>
      <c r="P37" s="225"/>
      <c r="Q37" s="225"/>
      <c r="R37" s="225"/>
      <c r="S37" s="225"/>
      <c r="T37" s="225"/>
      <c r="U37" s="225"/>
      <c r="V37" s="225"/>
      <c r="W37" s="225"/>
      <c r="X37" s="225"/>
      <c r="Y37" s="225"/>
      <c r="Z37" s="225"/>
      <c r="AA37" s="225"/>
      <c r="AB37" s="225"/>
    </row>
    <row r="38" spans="2:28">
      <c r="B38" s="224"/>
      <c r="C38" s="224"/>
      <c r="D38" s="224"/>
      <c r="E38" s="224"/>
      <c r="F38" s="224"/>
      <c r="G38" s="224"/>
      <c r="H38" s="224"/>
      <c r="I38" s="224"/>
      <c r="J38" s="224"/>
      <c r="K38" s="224"/>
      <c r="L38" s="224"/>
      <c r="M38" s="224"/>
      <c r="N38" s="224"/>
      <c r="P38" s="225"/>
      <c r="Q38" s="225"/>
      <c r="R38" s="225"/>
      <c r="S38" s="225"/>
      <c r="T38" s="225"/>
      <c r="U38" s="225"/>
      <c r="V38" s="225"/>
      <c r="W38" s="225"/>
      <c r="X38" s="225"/>
      <c r="Y38" s="225"/>
      <c r="Z38" s="225"/>
      <c r="AA38" s="225"/>
      <c r="AB38" s="225"/>
    </row>
    <row r="39" spans="2:28">
      <c r="B39" s="224"/>
      <c r="C39" s="224"/>
      <c r="D39" s="224"/>
      <c r="E39" s="224"/>
      <c r="F39" s="224"/>
      <c r="G39" s="224"/>
      <c r="H39" s="224"/>
      <c r="I39" s="224"/>
      <c r="J39" s="224"/>
      <c r="K39" s="224"/>
      <c r="L39" s="224"/>
      <c r="M39" s="224"/>
      <c r="N39" s="224"/>
      <c r="P39" s="225"/>
      <c r="Q39" s="225"/>
      <c r="R39" s="225"/>
      <c r="S39" s="225"/>
      <c r="T39" s="225"/>
      <c r="U39" s="225"/>
      <c r="V39" s="225"/>
      <c r="W39" s="225"/>
      <c r="X39" s="225"/>
      <c r="Y39" s="225"/>
      <c r="Z39" s="225"/>
      <c r="AA39" s="225"/>
      <c r="AB39" s="225"/>
    </row>
    <row r="40" spans="2:28">
      <c r="B40" s="224"/>
      <c r="C40" s="224"/>
      <c r="D40" s="224"/>
      <c r="E40" s="224"/>
      <c r="F40" s="224"/>
      <c r="G40" s="224"/>
      <c r="H40" s="224"/>
      <c r="I40" s="224"/>
      <c r="J40" s="224"/>
      <c r="K40" s="224"/>
      <c r="L40" s="224"/>
      <c r="M40" s="224"/>
      <c r="N40" s="224"/>
      <c r="P40" s="225"/>
      <c r="Q40" s="225"/>
      <c r="R40" s="225"/>
      <c r="S40" s="225"/>
      <c r="T40" s="225"/>
      <c r="U40" s="225"/>
      <c r="V40" s="225"/>
      <c r="W40" s="225"/>
      <c r="X40" s="225"/>
      <c r="Y40" s="225"/>
      <c r="Z40" s="225"/>
      <c r="AA40" s="225"/>
      <c r="AB40" s="225"/>
    </row>
    <row r="41" spans="2:28">
      <c r="B41" s="224"/>
      <c r="C41" s="224"/>
      <c r="D41" s="224"/>
      <c r="E41" s="224"/>
      <c r="F41" s="224"/>
      <c r="G41" s="224"/>
      <c r="H41" s="224"/>
      <c r="I41" s="224"/>
      <c r="J41" s="224"/>
      <c r="K41" s="224"/>
      <c r="L41" s="224"/>
      <c r="M41" s="224"/>
      <c r="N41" s="224"/>
      <c r="P41" s="225"/>
      <c r="Q41" s="225"/>
      <c r="R41" s="225"/>
      <c r="S41" s="225"/>
      <c r="T41" s="225"/>
      <c r="U41" s="225"/>
      <c r="V41" s="225"/>
      <c r="W41" s="225"/>
      <c r="X41" s="225"/>
      <c r="Y41" s="225"/>
      <c r="Z41" s="225"/>
      <c r="AA41" s="225"/>
      <c r="AB41" s="225"/>
    </row>
    <row r="42" spans="2:28">
      <c r="B42" s="224"/>
      <c r="C42" s="224"/>
      <c r="D42" s="224"/>
      <c r="E42" s="224"/>
      <c r="F42" s="224"/>
      <c r="G42" s="224"/>
      <c r="H42" s="224"/>
      <c r="I42" s="224"/>
      <c r="J42" s="224"/>
      <c r="K42" s="224"/>
      <c r="L42" s="224"/>
      <c r="M42" s="224"/>
      <c r="N42" s="224"/>
      <c r="P42" s="225"/>
      <c r="Q42" s="225"/>
      <c r="R42" s="225"/>
      <c r="S42" s="225"/>
      <c r="T42" s="225"/>
      <c r="U42" s="225"/>
      <c r="V42" s="225"/>
      <c r="W42" s="225"/>
      <c r="X42" s="225"/>
      <c r="Y42" s="225"/>
      <c r="Z42" s="225"/>
      <c r="AA42" s="225"/>
      <c r="AB42" s="225"/>
    </row>
    <row r="43" spans="2:28">
      <c r="B43" s="224"/>
      <c r="C43" s="224"/>
      <c r="D43" s="224"/>
      <c r="E43" s="224"/>
      <c r="F43" s="224"/>
      <c r="G43" s="224"/>
      <c r="H43" s="224"/>
      <c r="I43" s="224"/>
      <c r="J43" s="224"/>
      <c r="K43" s="224"/>
      <c r="L43" s="224"/>
      <c r="M43" s="224"/>
      <c r="N43" s="224"/>
      <c r="P43" s="225"/>
      <c r="Q43" s="225"/>
      <c r="R43" s="225"/>
      <c r="S43" s="225"/>
      <c r="T43" s="225"/>
      <c r="U43" s="225"/>
      <c r="V43" s="225"/>
      <c r="W43" s="225"/>
      <c r="X43" s="225"/>
      <c r="Y43" s="225"/>
      <c r="Z43" s="225"/>
      <c r="AA43" s="225"/>
      <c r="AB43" s="225"/>
    </row>
    <row r="44" spans="2:28">
      <c r="B44" s="224"/>
      <c r="C44" s="224"/>
      <c r="D44" s="224"/>
      <c r="E44" s="224"/>
      <c r="F44" s="224"/>
      <c r="G44" s="224"/>
      <c r="H44" s="224"/>
      <c r="I44" s="224"/>
      <c r="J44" s="224"/>
      <c r="K44" s="224"/>
      <c r="L44" s="224"/>
      <c r="M44" s="224"/>
      <c r="N44" s="224"/>
      <c r="P44" s="225"/>
      <c r="Q44" s="225"/>
      <c r="R44" s="225"/>
      <c r="S44" s="225"/>
      <c r="T44" s="225"/>
      <c r="U44" s="225"/>
      <c r="V44" s="225"/>
      <c r="W44" s="225"/>
      <c r="X44" s="225"/>
      <c r="Y44" s="225"/>
      <c r="Z44" s="225"/>
      <c r="AA44" s="225"/>
      <c r="AB44" s="225"/>
    </row>
    <row r="45" spans="2:28">
      <c r="B45" s="224"/>
      <c r="C45" s="224"/>
      <c r="D45" s="224"/>
      <c r="E45" s="224"/>
      <c r="F45" s="224"/>
      <c r="G45" s="224"/>
      <c r="H45" s="224"/>
      <c r="I45" s="224"/>
      <c r="J45" s="224"/>
      <c r="K45" s="224"/>
      <c r="L45" s="224"/>
      <c r="M45" s="224"/>
      <c r="N45" s="224"/>
      <c r="P45" s="225"/>
      <c r="Q45" s="225"/>
      <c r="R45" s="225"/>
      <c r="S45" s="225"/>
      <c r="T45" s="225"/>
      <c r="U45" s="225"/>
      <c r="V45" s="225"/>
      <c r="W45" s="225"/>
      <c r="X45" s="225"/>
      <c r="Y45" s="225"/>
      <c r="Z45" s="225"/>
      <c r="AA45" s="225"/>
      <c r="AB45" s="225"/>
    </row>
    <row r="46" spans="2:28">
      <c r="B46" s="224"/>
      <c r="C46" s="224"/>
      <c r="D46" s="224"/>
      <c r="E46" s="224"/>
      <c r="F46" s="224"/>
      <c r="G46" s="224"/>
      <c r="H46" s="224"/>
      <c r="I46" s="224"/>
      <c r="J46" s="224"/>
      <c r="K46" s="224"/>
      <c r="L46" s="224"/>
      <c r="M46" s="224"/>
      <c r="N46" s="224"/>
      <c r="P46" s="225"/>
      <c r="Q46" s="225"/>
      <c r="R46" s="225"/>
      <c r="S46" s="225"/>
      <c r="T46" s="225"/>
      <c r="U46" s="225"/>
      <c r="V46" s="225"/>
      <c r="W46" s="225"/>
      <c r="X46" s="225"/>
      <c r="Y46" s="225"/>
      <c r="Z46" s="225"/>
      <c r="AA46" s="225"/>
      <c r="AB46" s="225"/>
    </row>
    <row r="47" spans="2:28">
      <c r="B47" s="224"/>
      <c r="C47" s="224"/>
      <c r="D47" s="224"/>
      <c r="E47" s="224"/>
      <c r="F47" s="224"/>
      <c r="G47" s="224"/>
      <c r="H47" s="224"/>
      <c r="I47" s="224"/>
      <c r="J47" s="224"/>
      <c r="K47" s="224"/>
      <c r="L47" s="224"/>
      <c r="M47" s="224"/>
      <c r="N47" s="224"/>
      <c r="P47" s="225"/>
      <c r="Q47" s="225"/>
      <c r="R47" s="225"/>
      <c r="S47" s="225"/>
      <c r="T47" s="225"/>
      <c r="U47" s="225"/>
      <c r="V47" s="225"/>
      <c r="W47" s="225"/>
      <c r="X47" s="225"/>
      <c r="Y47" s="225"/>
      <c r="Z47" s="225"/>
      <c r="AA47" s="225"/>
      <c r="AB47" s="225"/>
    </row>
    <row r="48" spans="2:28">
      <c r="B48" s="224"/>
      <c r="C48" s="224"/>
      <c r="D48" s="224"/>
      <c r="E48" s="224"/>
      <c r="F48" s="224"/>
      <c r="G48" s="224"/>
      <c r="H48" s="224"/>
      <c r="I48" s="224"/>
      <c r="J48" s="224"/>
      <c r="K48" s="224"/>
      <c r="L48" s="224"/>
      <c r="M48" s="224"/>
      <c r="N48" s="224"/>
      <c r="P48" s="225"/>
      <c r="Q48" s="225"/>
      <c r="R48" s="225"/>
      <c r="S48" s="225"/>
      <c r="T48" s="225"/>
      <c r="U48" s="225"/>
      <c r="V48" s="225"/>
      <c r="W48" s="225"/>
      <c r="X48" s="225"/>
      <c r="Y48" s="225"/>
      <c r="Z48" s="225"/>
      <c r="AA48" s="225"/>
      <c r="AB48" s="225"/>
    </row>
    <row r="49" spans="2:28">
      <c r="B49" s="224"/>
      <c r="C49" s="224"/>
      <c r="D49" s="224"/>
      <c r="E49" s="224"/>
      <c r="F49" s="224"/>
      <c r="G49" s="224"/>
      <c r="H49" s="224"/>
      <c r="I49" s="224"/>
      <c r="J49" s="224"/>
      <c r="K49" s="224"/>
      <c r="L49" s="224"/>
      <c r="M49" s="224"/>
      <c r="N49" s="224"/>
      <c r="P49" s="225"/>
      <c r="Q49" s="225"/>
      <c r="R49" s="225"/>
      <c r="S49" s="225"/>
      <c r="T49" s="225"/>
      <c r="U49" s="225"/>
      <c r="V49" s="225"/>
      <c r="W49" s="225"/>
      <c r="X49" s="225"/>
      <c r="Y49" s="225"/>
      <c r="Z49" s="225"/>
      <c r="AA49" s="225"/>
      <c r="AB49" s="225"/>
    </row>
    <row r="50" spans="2:28">
      <c r="B50" s="224"/>
      <c r="C50" s="224"/>
      <c r="D50" s="224"/>
      <c r="E50" s="224"/>
      <c r="F50" s="224"/>
      <c r="G50" s="224"/>
      <c r="H50" s="224"/>
      <c r="I50" s="224"/>
      <c r="J50" s="224"/>
      <c r="K50" s="224"/>
      <c r="L50" s="224"/>
      <c r="M50" s="224"/>
      <c r="N50" s="224"/>
      <c r="P50" s="225"/>
      <c r="Q50" s="225"/>
      <c r="R50" s="225"/>
      <c r="S50" s="225"/>
      <c r="T50" s="225"/>
      <c r="U50" s="225"/>
      <c r="V50" s="225"/>
      <c r="W50" s="225"/>
      <c r="X50" s="225"/>
      <c r="Y50" s="225"/>
      <c r="Z50" s="225"/>
      <c r="AA50" s="225"/>
      <c r="AB50" s="225"/>
    </row>
    <row r="51" spans="2:28">
      <c r="B51" s="224"/>
      <c r="C51" s="224"/>
      <c r="D51" s="224"/>
      <c r="E51" s="224"/>
      <c r="F51" s="224"/>
      <c r="G51" s="224"/>
      <c r="H51" s="224"/>
      <c r="I51" s="224"/>
      <c r="J51" s="224"/>
      <c r="K51" s="224"/>
      <c r="L51" s="224"/>
      <c r="M51" s="224"/>
      <c r="N51" s="224"/>
      <c r="P51" s="225"/>
      <c r="Q51" s="225"/>
      <c r="R51" s="225"/>
      <c r="S51" s="225"/>
      <c r="T51" s="225"/>
      <c r="U51" s="225"/>
      <c r="V51" s="225"/>
      <c r="W51" s="225"/>
      <c r="X51" s="225"/>
      <c r="Y51" s="225"/>
      <c r="Z51" s="225"/>
      <c r="AA51" s="225"/>
      <c r="AB51" s="225"/>
    </row>
    <row r="52" spans="2:28">
      <c r="B52" s="224"/>
      <c r="C52" s="224"/>
      <c r="D52" s="224"/>
      <c r="E52" s="224"/>
      <c r="F52" s="224"/>
      <c r="G52" s="224"/>
      <c r="H52" s="224"/>
      <c r="I52" s="224"/>
      <c r="J52" s="224"/>
      <c r="K52" s="224"/>
      <c r="L52" s="224"/>
      <c r="M52" s="224"/>
      <c r="N52" s="224"/>
      <c r="P52" s="225"/>
      <c r="Q52" s="225"/>
      <c r="R52" s="225"/>
      <c r="S52" s="225"/>
      <c r="T52" s="225"/>
      <c r="U52" s="225"/>
      <c r="V52" s="225"/>
      <c r="W52" s="225"/>
      <c r="X52" s="225"/>
      <c r="Y52" s="225"/>
      <c r="Z52" s="225"/>
      <c r="AA52" s="225"/>
      <c r="AB52" s="225"/>
    </row>
    <row r="53" spans="2:28">
      <c r="B53" s="224"/>
      <c r="C53" s="224"/>
      <c r="D53" s="224"/>
      <c r="E53" s="224"/>
      <c r="F53" s="224"/>
      <c r="G53" s="224"/>
      <c r="H53" s="224"/>
      <c r="I53" s="224"/>
      <c r="J53" s="224"/>
      <c r="K53" s="224"/>
      <c r="L53" s="224"/>
      <c r="M53" s="224"/>
      <c r="N53" s="224"/>
      <c r="P53" s="225"/>
      <c r="Q53" s="225"/>
      <c r="R53" s="225"/>
      <c r="S53" s="225"/>
      <c r="T53" s="225"/>
      <c r="U53" s="225"/>
      <c r="V53" s="225"/>
      <c r="W53" s="225"/>
      <c r="X53" s="225"/>
      <c r="Y53" s="225"/>
      <c r="Z53" s="225"/>
      <c r="AA53" s="225"/>
      <c r="AB53" s="225"/>
    </row>
    <row r="54" spans="2:28">
      <c r="B54" s="224"/>
      <c r="C54" s="224"/>
      <c r="D54" s="224"/>
      <c r="E54" s="224"/>
      <c r="F54" s="224"/>
      <c r="G54" s="224"/>
      <c r="H54" s="224"/>
      <c r="I54" s="224"/>
      <c r="J54" s="224"/>
      <c r="K54" s="224"/>
      <c r="L54" s="224"/>
      <c r="M54" s="224"/>
      <c r="N54" s="224"/>
      <c r="P54" s="225"/>
      <c r="Q54" s="225"/>
      <c r="R54" s="225"/>
      <c r="S54" s="225"/>
      <c r="T54" s="225"/>
      <c r="U54" s="225"/>
      <c r="V54" s="225"/>
      <c r="W54" s="225"/>
      <c r="X54" s="225"/>
      <c r="Y54" s="225"/>
      <c r="Z54" s="225"/>
      <c r="AA54" s="225"/>
      <c r="AB54" s="225"/>
    </row>
    <row r="55" spans="2:28">
      <c r="B55" s="224"/>
      <c r="C55" s="224"/>
      <c r="D55" s="224"/>
      <c r="E55" s="224"/>
      <c r="F55" s="224"/>
      <c r="G55" s="224"/>
      <c r="H55" s="224"/>
      <c r="I55" s="224"/>
      <c r="J55" s="224"/>
      <c r="K55" s="224"/>
      <c r="L55" s="224"/>
      <c r="M55" s="224"/>
      <c r="N55" s="224"/>
      <c r="P55" s="225"/>
      <c r="Q55" s="225"/>
      <c r="R55" s="225"/>
      <c r="S55" s="225"/>
      <c r="T55" s="225"/>
      <c r="U55" s="225"/>
      <c r="V55" s="225"/>
      <c r="W55" s="225"/>
      <c r="X55" s="225"/>
      <c r="Y55" s="225"/>
      <c r="Z55" s="225"/>
      <c r="AA55" s="225"/>
      <c r="AB55" s="225"/>
    </row>
    <row r="56" spans="2:28">
      <c r="B56" s="224"/>
      <c r="C56" s="224"/>
      <c r="D56" s="226"/>
      <c r="E56" s="227"/>
      <c r="F56" s="226"/>
      <c r="G56" s="224"/>
      <c r="H56" s="224"/>
      <c r="I56" s="224"/>
      <c r="J56" s="224"/>
      <c r="K56" s="224"/>
      <c r="L56" s="224"/>
      <c r="M56" s="224"/>
      <c r="N56" s="224"/>
      <c r="P56" s="225"/>
      <c r="Q56" s="225"/>
      <c r="R56" s="225"/>
      <c r="S56" s="225"/>
      <c r="T56" s="225"/>
      <c r="U56" s="228"/>
      <c r="V56" s="228"/>
      <c r="W56" s="228"/>
      <c r="X56" s="228"/>
      <c r="Y56" s="228"/>
      <c r="Z56" s="228"/>
      <c r="AA56" s="225"/>
      <c r="AB56" s="225"/>
    </row>
    <row r="57" spans="2:28">
      <c r="B57" s="224"/>
      <c r="C57" s="224"/>
      <c r="D57" s="226"/>
      <c r="E57" s="227"/>
      <c r="F57" s="226"/>
      <c r="G57" s="224"/>
      <c r="H57" s="224"/>
      <c r="I57" s="224"/>
      <c r="J57" s="224"/>
      <c r="K57" s="224"/>
      <c r="L57" s="224"/>
      <c r="M57" s="224"/>
      <c r="N57" s="224"/>
      <c r="P57" s="225"/>
      <c r="Q57" s="225"/>
      <c r="R57" s="225"/>
      <c r="S57" s="225"/>
      <c r="T57" s="225"/>
      <c r="U57" s="228"/>
      <c r="V57" s="228"/>
      <c r="W57" s="228"/>
      <c r="X57" s="228"/>
      <c r="Y57" s="228"/>
      <c r="Z57" s="228"/>
      <c r="AA57" s="225"/>
      <c r="AB57" s="225"/>
    </row>
    <row r="58" spans="2:28">
      <c r="B58" s="224"/>
      <c r="C58" s="224"/>
      <c r="D58" s="226"/>
      <c r="E58" s="227"/>
      <c r="F58" s="226"/>
      <c r="G58" s="224"/>
      <c r="H58" s="224"/>
      <c r="I58" s="224"/>
      <c r="J58" s="224"/>
      <c r="K58" s="224"/>
      <c r="L58" s="224"/>
      <c r="M58" s="224"/>
      <c r="N58" s="224"/>
      <c r="P58" s="225"/>
      <c r="Q58" s="225"/>
      <c r="R58" s="225"/>
      <c r="S58" s="225"/>
      <c r="T58" s="225"/>
      <c r="U58" s="228"/>
      <c r="V58" s="228"/>
      <c r="W58" s="228"/>
      <c r="X58" s="228"/>
      <c r="Y58" s="228"/>
      <c r="Z58" s="228"/>
      <c r="AA58" s="225"/>
      <c r="AB58" s="225"/>
    </row>
    <row r="59" spans="2:28">
      <c r="B59" s="224"/>
      <c r="C59" s="224"/>
      <c r="D59" s="226"/>
      <c r="E59" s="227"/>
      <c r="F59" s="226"/>
      <c r="G59" s="224"/>
      <c r="H59" s="224"/>
      <c r="I59" s="224"/>
      <c r="J59" s="224"/>
      <c r="K59" s="224"/>
      <c r="L59" s="224"/>
      <c r="M59" s="224"/>
      <c r="N59" s="224"/>
      <c r="P59" s="225"/>
      <c r="Q59" s="225"/>
      <c r="R59" s="225"/>
      <c r="S59" s="225"/>
      <c r="T59" s="225"/>
      <c r="U59" s="228"/>
      <c r="V59" s="228"/>
      <c r="W59" s="228"/>
      <c r="X59" s="228"/>
      <c r="Y59" s="228"/>
      <c r="Z59" s="228"/>
      <c r="AA59" s="225"/>
      <c r="AB59" s="225"/>
    </row>
    <row r="60" spans="2:28">
      <c r="B60" s="224"/>
      <c r="C60" s="224"/>
      <c r="D60" s="226"/>
      <c r="E60" s="227"/>
      <c r="F60" s="226"/>
      <c r="G60" s="224"/>
      <c r="H60" s="224"/>
      <c r="I60" s="224"/>
      <c r="J60" s="224"/>
      <c r="K60" s="224"/>
      <c r="L60" s="224"/>
      <c r="M60" s="224"/>
      <c r="N60" s="224"/>
      <c r="P60" s="225"/>
      <c r="Q60" s="225"/>
      <c r="R60" s="225"/>
      <c r="S60" s="225"/>
      <c r="T60" s="225"/>
      <c r="U60" s="228"/>
      <c r="V60" s="228"/>
      <c r="W60" s="228"/>
      <c r="X60" s="228"/>
      <c r="Y60" s="228"/>
      <c r="Z60" s="228"/>
      <c r="AA60" s="225"/>
      <c r="AB60" s="225"/>
    </row>
    <row r="61" spans="2:28">
      <c r="B61" s="224"/>
      <c r="C61" s="224"/>
      <c r="D61" s="226"/>
      <c r="E61" s="227"/>
      <c r="F61" s="226"/>
      <c r="G61" s="224"/>
      <c r="H61" s="224"/>
      <c r="I61" s="224"/>
      <c r="J61" s="224"/>
      <c r="K61" s="224"/>
      <c r="L61" s="224"/>
      <c r="M61" s="224"/>
      <c r="N61" s="224"/>
      <c r="P61" s="225"/>
      <c r="Q61" s="225"/>
      <c r="R61" s="225"/>
      <c r="S61" s="225"/>
      <c r="T61" s="225"/>
      <c r="U61" s="228"/>
      <c r="V61" s="228"/>
      <c r="W61" s="228"/>
      <c r="X61" s="228"/>
      <c r="Y61" s="228"/>
      <c r="Z61" s="228"/>
      <c r="AA61" s="225"/>
      <c r="AB61" s="225"/>
    </row>
    <row r="62" spans="2:28">
      <c r="B62" s="224"/>
      <c r="C62" s="224"/>
      <c r="D62" s="226"/>
      <c r="E62" s="227"/>
      <c r="F62" s="226"/>
      <c r="G62" s="224"/>
      <c r="H62" s="224"/>
      <c r="I62" s="224"/>
      <c r="J62" s="224"/>
      <c r="K62" s="224"/>
      <c r="L62" s="224"/>
      <c r="M62" s="224"/>
      <c r="N62" s="224"/>
      <c r="P62" s="225"/>
      <c r="Q62" s="225"/>
      <c r="R62" s="225"/>
      <c r="S62" s="225"/>
      <c r="T62" s="225"/>
      <c r="U62" s="228"/>
      <c r="V62" s="228"/>
      <c r="W62" s="228"/>
      <c r="X62" s="228"/>
      <c r="Y62" s="228"/>
      <c r="Z62" s="228"/>
      <c r="AA62" s="225"/>
      <c r="AB62" s="225"/>
    </row>
    <row r="63" spans="2:28">
      <c r="B63" s="224"/>
      <c r="C63" s="224"/>
      <c r="D63" s="226"/>
      <c r="E63" s="227"/>
      <c r="F63" s="226"/>
      <c r="G63" s="224"/>
      <c r="H63" s="224"/>
      <c r="I63" s="224"/>
      <c r="J63" s="224"/>
      <c r="K63" s="224"/>
      <c r="L63" s="224"/>
      <c r="M63" s="224"/>
      <c r="N63" s="224"/>
      <c r="P63" s="225"/>
      <c r="Q63" s="225"/>
      <c r="R63" s="225"/>
      <c r="S63" s="225"/>
      <c r="T63" s="225"/>
      <c r="U63" s="228"/>
      <c r="V63" s="228"/>
      <c r="W63" s="228"/>
      <c r="X63" s="228"/>
      <c r="Y63" s="228"/>
      <c r="Z63" s="228"/>
      <c r="AA63" s="225"/>
      <c r="AB63" s="225"/>
    </row>
    <row r="64" spans="2:28">
      <c r="B64" s="224"/>
      <c r="C64" s="224"/>
      <c r="D64" s="226"/>
      <c r="E64" s="227"/>
      <c r="F64" s="226"/>
      <c r="G64" s="224"/>
      <c r="H64" s="224"/>
      <c r="I64" s="224"/>
      <c r="J64" s="224"/>
      <c r="K64" s="224"/>
      <c r="L64" s="224"/>
      <c r="M64" s="224"/>
      <c r="N64" s="224"/>
      <c r="P64" s="225"/>
      <c r="Q64" s="225"/>
      <c r="R64" s="225"/>
      <c r="S64" s="225"/>
      <c r="T64" s="225"/>
      <c r="U64" s="228"/>
      <c r="V64" s="228"/>
      <c r="W64" s="228"/>
      <c r="X64" s="228"/>
      <c r="Y64" s="228"/>
      <c r="Z64" s="228"/>
      <c r="AA64" s="225"/>
      <c r="AB64" s="225"/>
    </row>
    <row r="65" spans="2:28">
      <c r="B65" s="224"/>
      <c r="C65" s="224"/>
      <c r="D65" s="226"/>
      <c r="E65" s="227"/>
      <c r="F65" s="226"/>
      <c r="G65" s="224"/>
      <c r="H65" s="224"/>
      <c r="I65" s="224"/>
      <c r="J65" s="224"/>
      <c r="K65" s="224"/>
      <c r="L65" s="224"/>
      <c r="M65" s="224"/>
      <c r="N65" s="224"/>
      <c r="P65" s="225"/>
      <c r="Q65" s="225"/>
      <c r="R65" s="225"/>
      <c r="S65" s="225"/>
      <c r="T65" s="225"/>
      <c r="U65" s="228"/>
      <c r="V65" s="228"/>
      <c r="W65" s="228"/>
      <c r="X65" s="228"/>
      <c r="Y65" s="228"/>
      <c r="Z65" s="228"/>
      <c r="AA65" s="225"/>
      <c r="AB65" s="225"/>
    </row>
    <row r="66" spans="2:28">
      <c r="B66" s="224"/>
      <c r="C66" s="224"/>
      <c r="D66" s="226"/>
      <c r="E66" s="227"/>
      <c r="F66" s="226"/>
      <c r="G66" s="224"/>
      <c r="H66" s="224"/>
      <c r="I66" s="224"/>
      <c r="J66" s="224"/>
      <c r="K66" s="224"/>
      <c r="L66" s="224"/>
      <c r="M66" s="224"/>
      <c r="N66" s="224"/>
      <c r="P66" s="225"/>
      <c r="Q66" s="225"/>
      <c r="R66" s="225"/>
      <c r="S66" s="225"/>
      <c r="T66" s="225"/>
      <c r="U66" s="228"/>
      <c r="V66" s="228"/>
      <c r="W66" s="228"/>
      <c r="X66" s="228"/>
      <c r="Y66" s="228"/>
      <c r="Z66" s="228"/>
      <c r="AA66" s="225"/>
      <c r="AB66" s="225"/>
    </row>
    <row r="67" spans="2:28">
      <c r="B67" s="224"/>
      <c r="C67" s="224"/>
      <c r="D67" s="226"/>
      <c r="E67" s="227"/>
      <c r="F67" s="226"/>
      <c r="G67" s="224"/>
      <c r="H67" s="224"/>
      <c r="I67" s="224"/>
      <c r="J67" s="224"/>
      <c r="K67" s="224"/>
      <c r="L67" s="224"/>
      <c r="M67" s="224"/>
      <c r="N67" s="224"/>
      <c r="P67" s="225"/>
      <c r="Q67" s="225"/>
      <c r="R67" s="225"/>
      <c r="S67" s="225"/>
      <c r="T67" s="225"/>
      <c r="U67" s="228"/>
      <c r="V67" s="228"/>
      <c r="W67" s="228"/>
      <c r="X67" s="228"/>
      <c r="Y67" s="228"/>
      <c r="Z67" s="228"/>
      <c r="AA67" s="225"/>
      <c r="AB67" s="225"/>
    </row>
    <row r="68" spans="2:28">
      <c r="B68" s="224"/>
      <c r="C68" s="224"/>
      <c r="D68" s="226"/>
      <c r="E68" s="227"/>
      <c r="F68" s="226"/>
      <c r="G68" s="224"/>
      <c r="H68" s="224"/>
      <c r="I68" s="224"/>
      <c r="J68" s="224"/>
      <c r="K68" s="224"/>
      <c r="L68" s="224"/>
      <c r="M68" s="224"/>
      <c r="N68" s="224"/>
      <c r="P68" s="225"/>
      <c r="Q68" s="225"/>
      <c r="R68" s="225"/>
      <c r="S68" s="225"/>
      <c r="T68" s="225"/>
      <c r="U68" s="228"/>
      <c r="V68" s="228"/>
      <c r="W68" s="228"/>
      <c r="X68" s="228"/>
      <c r="Y68" s="228"/>
      <c r="Z68" s="228"/>
      <c r="AA68" s="225"/>
      <c r="AB68" s="225"/>
    </row>
    <row r="69" spans="2:28">
      <c r="B69" s="224"/>
      <c r="C69" s="224"/>
      <c r="D69" s="226"/>
      <c r="E69" s="227"/>
      <c r="F69" s="226"/>
      <c r="G69" s="224"/>
      <c r="H69" s="224"/>
      <c r="I69" s="224"/>
      <c r="J69" s="224"/>
      <c r="K69" s="224"/>
      <c r="L69" s="224"/>
      <c r="M69" s="224"/>
      <c r="N69" s="224"/>
      <c r="P69" s="225"/>
      <c r="Q69" s="225"/>
      <c r="R69" s="225"/>
      <c r="S69" s="225"/>
      <c r="T69" s="229"/>
      <c r="U69" s="228"/>
      <c r="V69" s="228"/>
      <c r="W69" s="228"/>
      <c r="X69" s="228"/>
      <c r="Y69" s="228"/>
      <c r="Z69" s="228"/>
      <c r="AA69" s="225"/>
      <c r="AB69" s="225"/>
    </row>
    <row r="70" spans="2:28">
      <c r="B70" s="224"/>
      <c r="C70" s="224"/>
      <c r="D70" s="226"/>
      <c r="E70" s="227"/>
      <c r="F70" s="226"/>
      <c r="G70" s="224"/>
      <c r="H70" s="224"/>
      <c r="I70" s="224"/>
      <c r="J70" s="224"/>
      <c r="K70" s="224"/>
      <c r="L70" s="224"/>
      <c r="M70" s="224"/>
      <c r="N70" s="224"/>
      <c r="P70" s="225"/>
      <c r="Q70" s="225"/>
      <c r="R70" s="225"/>
      <c r="S70" s="225"/>
      <c r="T70" s="229"/>
      <c r="U70" s="228"/>
      <c r="V70" s="228"/>
      <c r="W70" s="228"/>
      <c r="X70" s="228"/>
      <c r="Y70" s="228"/>
      <c r="Z70" s="228"/>
      <c r="AA70" s="225"/>
      <c r="AB70" s="225"/>
    </row>
    <row r="71" spans="2:28">
      <c r="B71" s="224"/>
      <c r="C71" s="224"/>
      <c r="D71" s="226"/>
      <c r="E71" s="227"/>
      <c r="F71" s="226"/>
      <c r="G71" s="224"/>
      <c r="H71" s="224"/>
      <c r="I71" s="224"/>
      <c r="J71" s="224"/>
      <c r="K71" s="224"/>
      <c r="L71" s="224"/>
      <c r="M71" s="224"/>
      <c r="N71" s="224"/>
      <c r="P71" s="225"/>
      <c r="Q71" s="225"/>
      <c r="R71" s="225"/>
      <c r="S71" s="225"/>
      <c r="T71" s="229"/>
      <c r="U71" s="228"/>
      <c r="V71" s="228"/>
      <c r="W71" s="228"/>
      <c r="X71" s="228"/>
      <c r="Y71" s="228"/>
      <c r="Z71" s="228"/>
      <c r="AA71" s="225"/>
      <c r="AB71" s="225"/>
    </row>
    <row r="72" spans="2:28">
      <c r="B72" s="224"/>
      <c r="C72" s="224"/>
      <c r="D72" s="226"/>
      <c r="E72" s="227"/>
      <c r="F72" s="226"/>
      <c r="G72" s="224"/>
      <c r="H72" s="224"/>
      <c r="I72" s="224"/>
      <c r="J72" s="224"/>
      <c r="K72" s="224"/>
      <c r="L72" s="224"/>
      <c r="M72" s="224"/>
      <c r="N72" s="224"/>
      <c r="P72" s="225"/>
      <c r="Q72" s="225"/>
      <c r="R72" s="225"/>
      <c r="S72" s="225"/>
      <c r="T72" s="229"/>
      <c r="U72" s="228"/>
      <c r="V72" s="228"/>
      <c r="W72" s="228"/>
      <c r="X72" s="228"/>
      <c r="Y72" s="228"/>
      <c r="Z72" s="228"/>
      <c r="AA72" s="225"/>
      <c r="AB72" s="225"/>
    </row>
    <row r="73" spans="2:28">
      <c r="B73" s="224"/>
      <c r="C73" s="224"/>
      <c r="D73" s="226"/>
      <c r="E73" s="227"/>
      <c r="F73" s="226"/>
      <c r="G73" s="224"/>
      <c r="H73" s="224"/>
      <c r="I73" s="224"/>
      <c r="J73" s="224"/>
      <c r="K73" s="224"/>
      <c r="L73" s="224"/>
      <c r="M73" s="224"/>
      <c r="N73" s="224"/>
      <c r="P73" s="225"/>
      <c r="Q73" s="225"/>
      <c r="R73" s="225"/>
      <c r="S73" s="225"/>
      <c r="T73" s="229"/>
      <c r="U73" s="228"/>
      <c r="V73" s="228"/>
      <c r="W73" s="228"/>
      <c r="X73" s="228"/>
      <c r="Y73" s="228"/>
      <c r="Z73" s="228"/>
      <c r="AA73" s="225"/>
      <c r="AB73" s="225"/>
    </row>
    <row r="74" spans="2:28" ht="15.5">
      <c r="B74" s="224"/>
      <c r="C74" s="1514" t="s">
        <v>290</v>
      </c>
      <c r="D74" s="1514"/>
      <c r="E74" s="230"/>
      <c r="F74" s="1514" t="s">
        <v>291</v>
      </c>
      <c r="G74" s="1514"/>
      <c r="H74" s="230"/>
      <c r="I74" s="1514" t="s">
        <v>260</v>
      </c>
      <c r="J74" s="1514"/>
      <c r="K74" s="230"/>
      <c r="L74" s="1515" t="s">
        <v>292</v>
      </c>
      <c r="M74" s="1515"/>
      <c r="N74" s="224"/>
      <c r="P74" s="225"/>
      <c r="Q74" s="1516" t="s">
        <v>290</v>
      </c>
      <c r="R74" s="1516"/>
      <c r="S74" s="231"/>
      <c r="T74" s="1516" t="s">
        <v>291</v>
      </c>
      <c r="U74" s="1516"/>
      <c r="V74" s="231"/>
      <c r="W74" s="1516" t="s">
        <v>260</v>
      </c>
      <c r="X74" s="1516"/>
      <c r="Y74" s="231"/>
      <c r="Z74" s="1515" t="s">
        <v>292</v>
      </c>
      <c r="AA74" s="1515"/>
      <c r="AB74" s="225"/>
    </row>
    <row r="75" spans="2:28">
      <c r="B75" s="224"/>
      <c r="C75" s="232" t="s">
        <v>278</v>
      </c>
      <c r="D75" s="232" t="s">
        <v>52</v>
      </c>
      <c r="E75" s="233"/>
      <c r="F75" s="232" t="s">
        <v>278</v>
      </c>
      <c r="G75" s="232" t="s">
        <v>52</v>
      </c>
      <c r="H75" s="233"/>
      <c r="I75" s="232" t="s">
        <v>278</v>
      </c>
      <c r="J75" s="232" t="s">
        <v>52</v>
      </c>
      <c r="K75" s="233"/>
      <c r="L75" s="781" t="s">
        <v>278</v>
      </c>
      <c r="M75" s="781" t="s">
        <v>52</v>
      </c>
      <c r="N75" s="224"/>
      <c r="P75" s="225"/>
      <c r="Q75" s="234" t="s">
        <v>278</v>
      </c>
      <c r="R75" s="234" t="s">
        <v>52</v>
      </c>
      <c r="S75" s="235"/>
      <c r="T75" s="234" t="s">
        <v>278</v>
      </c>
      <c r="U75" s="234" t="s">
        <v>52</v>
      </c>
      <c r="V75" s="235"/>
      <c r="W75" s="234" t="s">
        <v>278</v>
      </c>
      <c r="X75" s="234" t="s">
        <v>52</v>
      </c>
      <c r="Y75" s="235"/>
      <c r="Z75" s="781" t="s">
        <v>278</v>
      </c>
      <c r="AA75" s="781" t="s">
        <v>52</v>
      </c>
      <c r="AB75" s="225"/>
    </row>
    <row r="76" spans="2:28">
      <c r="B76" s="224"/>
      <c r="C76" s="236">
        <v>0</v>
      </c>
      <c r="D76" s="236">
        <v>50</v>
      </c>
      <c r="E76" s="237"/>
      <c r="F76" s="236">
        <v>0</v>
      </c>
      <c r="G76" s="236">
        <v>45</v>
      </c>
      <c r="H76" s="237"/>
      <c r="I76" s="236">
        <v>0</v>
      </c>
      <c r="J76" s="236">
        <v>120</v>
      </c>
      <c r="K76" s="237"/>
      <c r="L76" s="283">
        <v>0</v>
      </c>
      <c r="M76" s="283">
        <v>135</v>
      </c>
      <c r="N76" s="224"/>
      <c r="P76" s="225"/>
      <c r="Q76" s="238">
        <v>0</v>
      </c>
      <c r="R76" s="238">
        <v>50</v>
      </c>
      <c r="S76" s="239"/>
      <c r="T76" s="238">
        <v>0</v>
      </c>
      <c r="U76" s="238">
        <v>45</v>
      </c>
      <c r="V76" s="239"/>
      <c r="W76" s="238">
        <v>0</v>
      </c>
      <c r="X76" s="238">
        <v>120</v>
      </c>
      <c r="Y76" s="239"/>
      <c r="Z76" s="238">
        <v>0</v>
      </c>
      <c r="AA76" s="238">
        <v>135</v>
      </c>
      <c r="AB76" s="225"/>
    </row>
    <row r="77" spans="2:28">
      <c r="B77" s="224"/>
      <c r="C77" s="236">
        <v>2.5</v>
      </c>
      <c r="D77" s="236">
        <v>50</v>
      </c>
      <c r="E77" s="237"/>
      <c r="F77" s="236">
        <v>0.5</v>
      </c>
      <c r="G77" s="236">
        <v>40.5</v>
      </c>
      <c r="H77" s="237"/>
      <c r="I77" s="236">
        <v>5</v>
      </c>
      <c r="J77" s="236">
        <v>120</v>
      </c>
      <c r="K77" s="237"/>
      <c r="L77" s="283">
        <v>0.5</v>
      </c>
      <c r="M77" s="283">
        <v>135</v>
      </c>
      <c r="N77" s="224"/>
      <c r="P77" s="225"/>
      <c r="Q77" s="238">
        <v>1</v>
      </c>
      <c r="R77" s="238">
        <v>50</v>
      </c>
      <c r="S77" s="239"/>
      <c r="T77" s="238">
        <v>0.5</v>
      </c>
      <c r="U77" s="238">
        <v>45</v>
      </c>
      <c r="V77" s="239"/>
      <c r="W77" s="238">
        <v>5</v>
      </c>
      <c r="X77" s="238">
        <v>120</v>
      </c>
      <c r="Y77" s="239"/>
      <c r="Z77" s="238">
        <v>0.5</v>
      </c>
      <c r="AA77" s="238">
        <v>135</v>
      </c>
      <c r="AB77" s="225"/>
    </row>
    <row r="78" spans="2:28">
      <c r="B78" s="224"/>
      <c r="C78" s="236">
        <v>5</v>
      </c>
      <c r="D78" s="236">
        <v>50</v>
      </c>
      <c r="E78" s="237"/>
      <c r="F78" s="236">
        <v>1</v>
      </c>
      <c r="G78" s="236">
        <v>36</v>
      </c>
      <c r="H78" s="237"/>
      <c r="I78" s="236">
        <v>10</v>
      </c>
      <c r="J78" s="236">
        <v>120</v>
      </c>
      <c r="K78" s="237"/>
      <c r="L78" s="283">
        <v>1</v>
      </c>
      <c r="M78" s="283">
        <v>135</v>
      </c>
      <c r="N78" s="224"/>
      <c r="P78" s="225"/>
      <c r="Q78" s="238">
        <v>2</v>
      </c>
      <c r="R78" s="238">
        <v>50</v>
      </c>
      <c r="S78" s="239"/>
      <c r="T78" s="238">
        <v>1</v>
      </c>
      <c r="U78" s="238">
        <v>45</v>
      </c>
      <c r="V78" s="239"/>
      <c r="W78" s="238">
        <v>10</v>
      </c>
      <c r="X78" s="238">
        <v>120</v>
      </c>
      <c r="Y78" s="239"/>
      <c r="Z78" s="238">
        <v>1</v>
      </c>
      <c r="AA78" s="238">
        <v>135</v>
      </c>
      <c r="AB78" s="225"/>
    </row>
    <row r="79" spans="2:28">
      <c r="B79" s="224"/>
      <c r="C79" s="236">
        <v>7.5</v>
      </c>
      <c r="D79" s="236">
        <v>50</v>
      </c>
      <c r="E79" s="237"/>
      <c r="F79" s="236">
        <v>1.5</v>
      </c>
      <c r="G79" s="236">
        <v>31.5</v>
      </c>
      <c r="H79" s="237"/>
      <c r="I79" s="236">
        <v>15</v>
      </c>
      <c r="J79" s="236">
        <v>120</v>
      </c>
      <c r="K79" s="237"/>
      <c r="L79" s="283">
        <v>1.5</v>
      </c>
      <c r="M79" s="283">
        <v>135</v>
      </c>
      <c r="N79" s="224"/>
      <c r="P79" s="225"/>
      <c r="Q79" s="238">
        <v>3</v>
      </c>
      <c r="R79" s="238">
        <v>50</v>
      </c>
      <c r="S79" s="239"/>
      <c r="T79" s="238">
        <v>1.5</v>
      </c>
      <c r="U79" s="238">
        <v>45</v>
      </c>
      <c r="V79" s="239"/>
      <c r="W79" s="238">
        <v>15</v>
      </c>
      <c r="X79" s="238">
        <v>120</v>
      </c>
      <c r="Y79" s="239"/>
      <c r="Z79" s="238">
        <v>1.5</v>
      </c>
      <c r="AA79" s="238">
        <v>135</v>
      </c>
      <c r="AB79" s="225"/>
    </row>
    <row r="80" spans="2:28">
      <c r="B80" s="224"/>
      <c r="C80" s="236">
        <v>10</v>
      </c>
      <c r="D80" s="236">
        <v>50</v>
      </c>
      <c r="E80" s="237"/>
      <c r="F80" s="236">
        <v>2</v>
      </c>
      <c r="G80" s="236">
        <v>27</v>
      </c>
      <c r="H80" s="237"/>
      <c r="I80" s="236">
        <v>20</v>
      </c>
      <c r="J80" s="236">
        <v>120</v>
      </c>
      <c r="K80" s="237"/>
      <c r="L80" s="283">
        <v>2</v>
      </c>
      <c r="M80" s="283">
        <v>135</v>
      </c>
      <c r="N80" s="224"/>
      <c r="P80" s="225"/>
      <c r="Q80" s="238">
        <v>4</v>
      </c>
      <c r="R80" s="238">
        <v>50</v>
      </c>
      <c r="S80" s="239"/>
      <c r="T80" s="238">
        <v>2</v>
      </c>
      <c r="U80" s="238">
        <v>45</v>
      </c>
      <c r="V80" s="239"/>
      <c r="W80" s="238">
        <v>20</v>
      </c>
      <c r="X80" s="238">
        <v>120</v>
      </c>
      <c r="Y80" s="239"/>
      <c r="Z80" s="238">
        <v>2</v>
      </c>
      <c r="AA80" s="238">
        <v>135</v>
      </c>
      <c r="AB80" s="225"/>
    </row>
    <row r="81" spans="2:28">
      <c r="B81" s="224"/>
      <c r="C81" s="236">
        <v>12.5</v>
      </c>
      <c r="D81" s="236">
        <v>50</v>
      </c>
      <c r="E81" s="237"/>
      <c r="F81" s="236">
        <v>2.5</v>
      </c>
      <c r="G81" s="236">
        <v>22.5</v>
      </c>
      <c r="H81" s="237"/>
      <c r="I81" s="236">
        <v>25</v>
      </c>
      <c r="J81" s="236">
        <v>120</v>
      </c>
      <c r="K81" s="237"/>
      <c r="L81" s="283">
        <v>2.5</v>
      </c>
      <c r="M81" s="283">
        <v>135</v>
      </c>
      <c r="N81" s="224"/>
      <c r="P81" s="225"/>
      <c r="Q81" s="238">
        <v>5</v>
      </c>
      <c r="R81" s="238">
        <v>50</v>
      </c>
      <c r="S81" s="239"/>
      <c r="T81" s="238">
        <v>2.5</v>
      </c>
      <c r="U81" s="238">
        <v>42.1875</v>
      </c>
      <c r="V81" s="239"/>
      <c r="W81" s="238">
        <v>25</v>
      </c>
      <c r="X81" s="238">
        <v>120</v>
      </c>
      <c r="Y81" s="239"/>
      <c r="Z81" s="238">
        <v>2.5</v>
      </c>
      <c r="AA81" s="238">
        <v>135</v>
      </c>
      <c r="AB81" s="225"/>
    </row>
    <row r="82" spans="2:28">
      <c r="B82" s="224"/>
      <c r="C82" s="236">
        <v>15</v>
      </c>
      <c r="D82" s="236">
        <v>50</v>
      </c>
      <c r="E82" s="237"/>
      <c r="F82" s="236">
        <v>3</v>
      </c>
      <c r="G82" s="236">
        <v>18</v>
      </c>
      <c r="H82" s="237"/>
      <c r="I82" s="236">
        <v>30</v>
      </c>
      <c r="J82" s="236">
        <v>120</v>
      </c>
      <c r="K82" s="237"/>
      <c r="L82" s="283">
        <v>3</v>
      </c>
      <c r="M82" s="283">
        <v>135</v>
      </c>
      <c r="N82" s="224"/>
      <c r="P82" s="225"/>
      <c r="Q82" s="238">
        <v>6</v>
      </c>
      <c r="R82" s="238">
        <v>50</v>
      </c>
      <c r="S82" s="239"/>
      <c r="T82" s="238">
        <v>3</v>
      </c>
      <c r="U82" s="238">
        <v>39.375</v>
      </c>
      <c r="V82" s="239"/>
      <c r="W82" s="238">
        <v>30</v>
      </c>
      <c r="X82" s="238">
        <v>120</v>
      </c>
      <c r="Y82" s="239"/>
      <c r="Z82" s="238">
        <v>3</v>
      </c>
      <c r="AA82" s="238">
        <v>135</v>
      </c>
      <c r="AB82" s="225"/>
    </row>
    <row r="83" spans="2:28">
      <c r="B83" s="224"/>
      <c r="C83" s="236">
        <v>17.5</v>
      </c>
      <c r="D83" s="236">
        <v>45.833333333333336</v>
      </c>
      <c r="E83" s="237"/>
      <c r="F83" s="236">
        <v>3.5</v>
      </c>
      <c r="G83" s="236">
        <v>13.5</v>
      </c>
      <c r="H83" s="237"/>
      <c r="I83" s="236">
        <v>35</v>
      </c>
      <c r="J83" s="236">
        <v>120</v>
      </c>
      <c r="K83" s="237"/>
      <c r="L83" s="283">
        <v>3.5</v>
      </c>
      <c r="M83" s="283">
        <v>135</v>
      </c>
      <c r="N83" s="224"/>
      <c r="P83" s="225"/>
      <c r="Q83" s="238">
        <v>7</v>
      </c>
      <c r="R83" s="238">
        <v>50</v>
      </c>
      <c r="S83" s="239"/>
      <c r="T83" s="238">
        <v>3.5</v>
      </c>
      <c r="U83" s="238">
        <v>36.5625</v>
      </c>
      <c r="V83" s="239"/>
      <c r="W83" s="238">
        <v>35</v>
      </c>
      <c r="X83" s="238">
        <v>120</v>
      </c>
      <c r="Y83" s="239"/>
      <c r="Z83" s="238">
        <v>3.5</v>
      </c>
      <c r="AA83" s="238">
        <v>135</v>
      </c>
      <c r="AB83" s="225"/>
    </row>
    <row r="84" spans="2:28">
      <c r="B84" s="224"/>
      <c r="C84" s="236">
        <v>20</v>
      </c>
      <c r="D84" s="236">
        <v>41.666666666666671</v>
      </c>
      <c r="E84" s="237"/>
      <c r="F84" s="236">
        <v>4</v>
      </c>
      <c r="G84" s="236">
        <v>9</v>
      </c>
      <c r="H84" s="237"/>
      <c r="I84" s="236">
        <v>40</v>
      </c>
      <c r="J84" s="236">
        <v>120</v>
      </c>
      <c r="K84" s="237"/>
      <c r="L84" s="283">
        <v>4</v>
      </c>
      <c r="M84" s="283">
        <v>135</v>
      </c>
      <c r="N84" s="224"/>
      <c r="P84" s="225"/>
      <c r="Q84" s="238">
        <v>8</v>
      </c>
      <c r="R84" s="238">
        <v>50</v>
      </c>
      <c r="S84" s="239"/>
      <c r="T84" s="238">
        <v>4</v>
      </c>
      <c r="U84" s="238">
        <v>33.75</v>
      </c>
      <c r="V84" s="239"/>
      <c r="W84" s="238">
        <v>40</v>
      </c>
      <c r="X84" s="238">
        <v>120</v>
      </c>
      <c r="Y84" s="239"/>
      <c r="Z84" s="238">
        <v>4</v>
      </c>
      <c r="AA84" s="238">
        <v>135</v>
      </c>
      <c r="AB84" s="225"/>
    </row>
    <row r="85" spans="2:28">
      <c r="B85" s="224"/>
      <c r="C85" s="236">
        <v>22.5</v>
      </c>
      <c r="D85" s="236">
        <v>37.5</v>
      </c>
      <c r="E85" s="237"/>
      <c r="F85" s="236">
        <v>4.5</v>
      </c>
      <c r="G85" s="236">
        <v>4.5</v>
      </c>
      <c r="H85" s="237"/>
      <c r="I85" s="236">
        <v>45</v>
      </c>
      <c r="J85" s="236">
        <v>120</v>
      </c>
      <c r="K85" s="237"/>
      <c r="L85" s="283">
        <v>4.5</v>
      </c>
      <c r="M85" s="283">
        <v>135</v>
      </c>
      <c r="N85" s="224"/>
      <c r="P85" s="225"/>
      <c r="Q85" s="238">
        <v>9</v>
      </c>
      <c r="R85" s="238">
        <v>50</v>
      </c>
      <c r="S85" s="239"/>
      <c r="T85" s="238">
        <v>4.5</v>
      </c>
      <c r="U85" s="238">
        <v>30.9375</v>
      </c>
      <c r="V85" s="239"/>
      <c r="W85" s="238">
        <v>45</v>
      </c>
      <c r="X85" s="238">
        <v>120</v>
      </c>
      <c r="Y85" s="239"/>
      <c r="Z85" s="238">
        <v>4.5</v>
      </c>
      <c r="AA85" s="238">
        <v>135</v>
      </c>
      <c r="AB85" s="225"/>
    </row>
    <row r="86" spans="2:28">
      <c r="B86" s="224"/>
      <c r="C86" s="236">
        <v>25</v>
      </c>
      <c r="D86" s="236">
        <v>33.333333333333336</v>
      </c>
      <c r="E86" s="237"/>
      <c r="F86" s="236">
        <v>5</v>
      </c>
      <c r="G86" s="236">
        <v>0</v>
      </c>
      <c r="H86" s="237"/>
      <c r="I86" s="236">
        <v>50</v>
      </c>
      <c r="J86" s="236">
        <v>120</v>
      </c>
      <c r="K86" s="237"/>
      <c r="L86" s="283">
        <v>5</v>
      </c>
      <c r="M86" s="283">
        <v>135</v>
      </c>
      <c r="N86" s="224"/>
      <c r="P86" s="225"/>
      <c r="Q86" s="238">
        <v>10</v>
      </c>
      <c r="R86" s="238">
        <v>50</v>
      </c>
      <c r="S86" s="239"/>
      <c r="T86" s="238">
        <v>5</v>
      </c>
      <c r="U86" s="238">
        <v>28.125</v>
      </c>
      <c r="V86" s="239"/>
      <c r="W86" s="238">
        <v>50</v>
      </c>
      <c r="X86" s="238">
        <v>120</v>
      </c>
      <c r="Y86" s="239"/>
      <c r="Z86" s="238">
        <v>5</v>
      </c>
      <c r="AA86" s="238">
        <v>135</v>
      </c>
      <c r="AB86" s="225"/>
    </row>
    <row r="87" spans="2:28">
      <c r="B87" s="224"/>
      <c r="C87" s="236">
        <v>27.5</v>
      </c>
      <c r="D87" s="236">
        <v>29.166666666666668</v>
      </c>
      <c r="E87" s="237"/>
      <c r="F87" s="236">
        <v>5.5</v>
      </c>
      <c r="G87" s="236">
        <v>0</v>
      </c>
      <c r="H87" s="237"/>
      <c r="I87" s="236">
        <v>55</v>
      </c>
      <c r="J87" s="236">
        <v>120</v>
      </c>
      <c r="K87" s="237"/>
      <c r="L87" s="283">
        <v>5.5</v>
      </c>
      <c r="M87" s="283">
        <v>135</v>
      </c>
      <c r="N87" s="224"/>
      <c r="P87" s="225"/>
      <c r="Q87" s="238">
        <v>11</v>
      </c>
      <c r="R87" s="238">
        <v>50</v>
      </c>
      <c r="S87" s="239"/>
      <c r="T87" s="238">
        <v>5.5</v>
      </c>
      <c r="U87" s="238">
        <v>25.3125</v>
      </c>
      <c r="V87" s="239"/>
      <c r="W87" s="238">
        <v>55</v>
      </c>
      <c r="X87" s="238">
        <v>120</v>
      </c>
      <c r="Y87" s="239"/>
      <c r="Z87" s="238">
        <v>5.5</v>
      </c>
      <c r="AA87" s="238">
        <v>135</v>
      </c>
      <c r="AB87" s="225"/>
    </row>
    <row r="88" spans="2:28">
      <c r="B88" s="224"/>
      <c r="C88" s="236">
        <v>30</v>
      </c>
      <c r="D88" s="236">
        <v>25</v>
      </c>
      <c r="E88" s="237"/>
      <c r="F88" s="236">
        <v>6</v>
      </c>
      <c r="G88" s="236">
        <v>0</v>
      </c>
      <c r="H88" s="237"/>
      <c r="I88" s="236">
        <v>60</v>
      </c>
      <c r="J88" s="236">
        <v>120</v>
      </c>
      <c r="K88" s="237"/>
      <c r="L88" s="283">
        <v>6</v>
      </c>
      <c r="M88" s="283">
        <v>135</v>
      </c>
      <c r="N88" s="224"/>
      <c r="P88" s="225"/>
      <c r="Q88" s="238">
        <v>12</v>
      </c>
      <c r="R88" s="238">
        <v>50</v>
      </c>
      <c r="S88" s="239"/>
      <c r="T88" s="238">
        <v>6</v>
      </c>
      <c r="U88" s="238">
        <v>22.5</v>
      </c>
      <c r="V88" s="239"/>
      <c r="W88" s="238">
        <v>60</v>
      </c>
      <c r="X88" s="238">
        <v>120</v>
      </c>
      <c r="Y88" s="239"/>
      <c r="Z88" s="238">
        <v>6</v>
      </c>
      <c r="AA88" s="238">
        <v>135</v>
      </c>
      <c r="AB88" s="225"/>
    </row>
    <row r="89" spans="2:28">
      <c r="B89" s="224"/>
      <c r="C89" s="236">
        <v>32.5</v>
      </c>
      <c r="D89" s="236">
        <v>20.833333333333336</v>
      </c>
      <c r="E89" s="237"/>
      <c r="F89" s="236">
        <v>6.5</v>
      </c>
      <c r="G89" s="236">
        <v>0</v>
      </c>
      <c r="H89" s="237"/>
      <c r="I89" s="236">
        <v>65</v>
      </c>
      <c r="J89" s="236">
        <v>115</v>
      </c>
      <c r="K89" s="237"/>
      <c r="L89" s="283">
        <v>6.5</v>
      </c>
      <c r="M89" s="283">
        <v>135</v>
      </c>
      <c r="N89" s="224"/>
      <c r="P89" s="225"/>
      <c r="Q89" s="238">
        <v>13</v>
      </c>
      <c r="R89" s="238">
        <v>50</v>
      </c>
      <c r="S89" s="239"/>
      <c r="T89" s="238">
        <v>6.5</v>
      </c>
      <c r="U89" s="238">
        <v>19.6875</v>
      </c>
      <c r="V89" s="239"/>
      <c r="W89" s="238">
        <v>65</v>
      </c>
      <c r="X89" s="238">
        <v>115.71428571428571</v>
      </c>
      <c r="Y89" s="239"/>
      <c r="Z89" s="238">
        <v>6.5</v>
      </c>
      <c r="AA89" s="238">
        <v>135</v>
      </c>
      <c r="AB89" s="225"/>
    </row>
    <row r="90" spans="2:28">
      <c r="B90" s="224"/>
      <c r="C90" s="236">
        <v>35</v>
      </c>
      <c r="D90" s="236">
        <v>16.666666666666668</v>
      </c>
      <c r="E90" s="237"/>
      <c r="F90" s="236">
        <v>7</v>
      </c>
      <c r="G90" s="236">
        <v>0</v>
      </c>
      <c r="H90" s="237"/>
      <c r="I90" s="236">
        <v>70</v>
      </c>
      <c r="J90" s="236">
        <v>110</v>
      </c>
      <c r="K90" s="237"/>
      <c r="L90" s="283">
        <v>7</v>
      </c>
      <c r="M90" s="283">
        <v>135</v>
      </c>
      <c r="N90" s="224"/>
      <c r="P90" s="225"/>
      <c r="Q90" s="238">
        <v>14</v>
      </c>
      <c r="R90" s="238">
        <v>50</v>
      </c>
      <c r="S90" s="239"/>
      <c r="T90" s="238">
        <v>7</v>
      </c>
      <c r="U90" s="238">
        <v>16.875</v>
      </c>
      <c r="V90" s="239"/>
      <c r="W90" s="238">
        <v>70</v>
      </c>
      <c r="X90" s="238">
        <v>111.42857142857142</v>
      </c>
      <c r="Y90" s="239"/>
      <c r="Z90" s="238">
        <v>7</v>
      </c>
      <c r="AA90" s="238">
        <v>135</v>
      </c>
      <c r="AB90" s="225"/>
    </row>
    <row r="91" spans="2:28">
      <c r="B91" s="224"/>
      <c r="C91" s="236">
        <v>37.5</v>
      </c>
      <c r="D91" s="236">
        <v>12.5</v>
      </c>
      <c r="E91" s="237"/>
      <c r="F91" s="236">
        <v>7.5</v>
      </c>
      <c r="G91" s="236">
        <v>0</v>
      </c>
      <c r="H91" s="237"/>
      <c r="I91" s="236">
        <v>75</v>
      </c>
      <c r="J91" s="236">
        <v>105</v>
      </c>
      <c r="K91" s="237"/>
      <c r="L91" s="283">
        <v>7.5</v>
      </c>
      <c r="M91" s="283">
        <v>135</v>
      </c>
      <c r="N91" s="224"/>
      <c r="P91" s="225"/>
      <c r="Q91" s="238">
        <v>15</v>
      </c>
      <c r="R91" s="238">
        <v>50</v>
      </c>
      <c r="S91" s="239"/>
      <c r="T91" s="238">
        <v>7.5</v>
      </c>
      <c r="U91" s="238">
        <v>14.0625</v>
      </c>
      <c r="V91" s="239"/>
      <c r="W91" s="238">
        <v>75</v>
      </c>
      <c r="X91" s="238">
        <v>107.14285714285714</v>
      </c>
      <c r="Y91" s="239"/>
      <c r="Z91" s="238">
        <v>7.5</v>
      </c>
      <c r="AA91" s="238">
        <v>135</v>
      </c>
      <c r="AB91" s="225"/>
    </row>
    <row r="92" spans="2:28">
      <c r="B92" s="224"/>
      <c r="C92" s="236">
        <v>40</v>
      </c>
      <c r="D92" s="236">
        <v>8.3333333333333339</v>
      </c>
      <c r="E92" s="237"/>
      <c r="F92" s="236">
        <v>8</v>
      </c>
      <c r="G92" s="236">
        <v>0</v>
      </c>
      <c r="H92" s="237"/>
      <c r="I92" s="236">
        <v>80</v>
      </c>
      <c r="J92" s="236">
        <v>100</v>
      </c>
      <c r="K92" s="237"/>
      <c r="L92" s="283">
        <v>8</v>
      </c>
      <c r="M92" s="283">
        <v>135</v>
      </c>
      <c r="N92" s="224"/>
      <c r="P92" s="225"/>
      <c r="Q92" s="238">
        <v>16</v>
      </c>
      <c r="R92" s="238">
        <v>50</v>
      </c>
      <c r="S92" s="239"/>
      <c r="T92" s="238">
        <v>8</v>
      </c>
      <c r="U92" s="238">
        <v>11.25</v>
      </c>
      <c r="V92" s="239"/>
      <c r="W92" s="238">
        <v>80</v>
      </c>
      <c r="X92" s="238">
        <v>102.85714285714285</v>
      </c>
      <c r="Y92" s="239"/>
      <c r="Z92" s="238">
        <v>8</v>
      </c>
      <c r="AA92" s="238">
        <v>135</v>
      </c>
      <c r="AB92" s="225"/>
    </row>
    <row r="93" spans="2:28">
      <c r="B93" s="224"/>
      <c r="C93" s="236">
        <v>42.5</v>
      </c>
      <c r="D93" s="236">
        <v>4.166666666666667</v>
      </c>
      <c r="E93" s="237"/>
      <c r="F93" s="236">
        <v>8.5</v>
      </c>
      <c r="G93" s="236">
        <v>0</v>
      </c>
      <c r="H93" s="237"/>
      <c r="I93" s="236">
        <v>85</v>
      </c>
      <c r="J93" s="236">
        <v>95</v>
      </c>
      <c r="K93" s="237"/>
      <c r="L93" s="283">
        <v>8.5</v>
      </c>
      <c r="M93" s="283">
        <v>135</v>
      </c>
      <c r="N93" s="224"/>
      <c r="P93" s="225"/>
      <c r="Q93" s="238">
        <v>17</v>
      </c>
      <c r="R93" s="238">
        <v>50</v>
      </c>
      <c r="S93" s="239"/>
      <c r="T93" s="238">
        <v>8.5</v>
      </c>
      <c r="U93" s="238">
        <v>8.4375</v>
      </c>
      <c r="V93" s="239"/>
      <c r="W93" s="238">
        <v>85</v>
      </c>
      <c r="X93" s="238">
        <v>98.571428571428569</v>
      </c>
      <c r="Y93" s="239"/>
      <c r="Z93" s="238">
        <v>8.5</v>
      </c>
      <c r="AA93" s="238">
        <v>135</v>
      </c>
      <c r="AB93" s="225"/>
    </row>
    <row r="94" spans="2:28">
      <c r="B94" s="224"/>
      <c r="C94" s="236">
        <v>45</v>
      </c>
      <c r="D94" s="236">
        <v>0</v>
      </c>
      <c r="E94" s="237"/>
      <c r="F94" s="236">
        <v>9</v>
      </c>
      <c r="G94" s="236">
        <v>0</v>
      </c>
      <c r="H94" s="237"/>
      <c r="I94" s="236">
        <v>90</v>
      </c>
      <c r="J94" s="236">
        <v>90</v>
      </c>
      <c r="K94" s="237"/>
      <c r="L94" s="283">
        <v>9</v>
      </c>
      <c r="M94" s="283">
        <v>135</v>
      </c>
      <c r="N94" s="224"/>
      <c r="P94" s="225"/>
      <c r="Q94" s="238">
        <v>18</v>
      </c>
      <c r="R94" s="238">
        <v>50</v>
      </c>
      <c r="S94" s="239"/>
      <c r="T94" s="238">
        <v>9</v>
      </c>
      <c r="U94" s="238">
        <v>5.625</v>
      </c>
      <c r="V94" s="239"/>
      <c r="W94" s="238">
        <v>90</v>
      </c>
      <c r="X94" s="238">
        <v>94.285714285714278</v>
      </c>
      <c r="Y94" s="239"/>
      <c r="Z94" s="238">
        <v>9</v>
      </c>
      <c r="AA94" s="238">
        <v>135</v>
      </c>
      <c r="AB94" s="225"/>
    </row>
    <row r="95" spans="2:28">
      <c r="B95" s="224"/>
      <c r="C95" s="236">
        <v>47.5</v>
      </c>
      <c r="D95" s="236">
        <v>0</v>
      </c>
      <c r="E95" s="237"/>
      <c r="F95" s="236">
        <v>9.5</v>
      </c>
      <c r="G95" s="236">
        <v>0</v>
      </c>
      <c r="H95" s="237"/>
      <c r="I95" s="236">
        <v>95</v>
      </c>
      <c r="J95" s="236">
        <v>85</v>
      </c>
      <c r="K95" s="237"/>
      <c r="L95" s="283">
        <v>9.5</v>
      </c>
      <c r="M95" s="283">
        <v>135</v>
      </c>
      <c r="N95" s="224"/>
      <c r="P95" s="225"/>
      <c r="Q95" s="238">
        <v>19</v>
      </c>
      <c r="R95" s="238">
        <v>50</v>
      </c>
      <c r="S95" s="239"/>
      <c r="T95" s="238">
        <v>9.5</v>
      </c>
      <c r="U95" s="238">
        <v>2.8125</v>
      </c>
      <c r="V95" s="239"/>
      <c r="W95" s="238">
        <v>95</v>
      </c>
      <c r="X95" s="238">
        <v>90</v>
      </c>
      <c r="Y95" s="239"/>
      <c r="Z95" s="238">
        <v>9.5</v>
      </c>
      <c r="AA95" s="238">
        <v>135</v>
      </c>
      <c r="AB95" s="225"/>
    </row>
    <row r="96" spans="2:28">
      <c r="B96" s="224"/>
      <c r="C96" s="236">
        <v>50</v>
      </c>
      <c r="D96" s="236">
        <v>0</v>
      </c>
      <c r="E96" s="237"/>
      <c r="F96" s="236">
        <v>10</v>
      </c>
      <c r="G96" s="236">
        <v>0</v>
      </c>
      <c r="H96" s="237"/>
      <c r="I96" s="236">
        <v>100</v>
      </c>
      <c r="J96" s="236">
        <v>80</v>
      </c>
      <c r="K96" s="237"/>
      <c r="L96" s="283">
        <v>10</v>
      </c>
      <c r="M96" s="283">
        <v>135</v>
      </c>
      <c r="N96" s="224"/>
      <c r="P96" s="225"/>
      <c r="Q96" s="238">
        <v>20</v>
      </c>
      <c r="R96" s="238">
        <v>50</v>
      </c>
      <c r="S96" s="239"/>
      <c r="T96" s="238">
        <v>10</v>
      </c>
      <c r="U96" s="238">
        <v>0</v>
      </c>
      <c r="V96" s="239"/>
      <c r="W96" s="238">
        <v>100</v>
      </c>
      <c r="X96" s="238">
        <v>85.714285714285708</v>
      </c>
      <c r="Y96" s="239"/>
      <c r="Z96" s="238">
        <v>10</v>
      </c>
      <c r="AA96" s="238">
        <v>135</v>
      </c>
      <c r="AB96" s="225"/>
    </row>
    <row r="97" spans="2:28">
      <c r="B97" s="224"/>
      <c r="C97" s="236">
        <v>52.5</v>
      </c>
      <c r="D97" s="236">
        <v>0</v>
      </c>
      <c r="E97" s="237"/>
      <c r="F97" s="236">
        <v>10.5</v>
      </c>
      <c r="G97" s="236">
        <v>0</v>
      </c>
      <c r="H97" s="237"/>
      <c r="I97" s="236">
        <v>105</v>
      </c>
      <c r="J97" s="236">
        <v>75</v>
      </c>
      <c r="K97" s="237"/>
      <c r="L97" s="283">
        <v>10.5</v>
      </c>
      <c r="M97" s="283">
        <v>135</v>
      </c>
      <c r="N97" s="224"/>
      <c r="P97" s="225"/>
      <c r="Q97" s="238">
        <v>21</v>
      </c>
      <c r="R97" s="238">
        <v>50</v>
      </c>
      <c r="S97" s="239"/>
      <c r="T97" s="238">
        <v>10.5</v>
      </c>
      <c r="U97" s="238">
        <v>0</v>
      </c>
      <c r="V97" s="239"/>
      <c r="W97" s="238">
        <v>105</v>
      </c>
      <c r="X97" s="238">
        <v>81.428571428571431</v>
      </c>
      <c r="Y97" s="239"/>
      <c r="Z97" s="238">
        <v>10.5</v>
      </c>
      <c r="AA97" s="238">
        <v>135</v>
      </c>
      <c r="AB97" s="225"/>
    </row>
    <row r="98" spans="2:28">
      <c r="B98" s="224"/>
      <c r="C98" s="236">
        <v>55</v>
      </c>
      <c r="D98" s="236">
        <v>0</v>
      </c>
      <c r="E98" s="237"/>
      <c r="F98" s="236">
        <v>11</v>
      </c>
      <c r="G98" s="236">
        <v>0</v>
      </c>
      <c r="H98" s="237"/>
      <c r="I98" s="236">
        <v>110</v>
      </c>
      <c r="J98" s="236">
        <v>70</v>
      </c>
      <c r="K98" s="237"/>
      <c r="L98" s="283">
        <v>11</v>
      </c>
      <c r="M98" s="283">
        <v>135</v>
      </c>
      <c r="N98" s="224"/>
      <c r="P98" s="225"/>
      <c r="Q98" s="238">
        <v>22</v>
      </c>
      <c r="R98" s="238">
        <v>50</v>
      </c>
      <c r="S98" s="239"/>
      <c r="T98" s="238">
        <v>11</v>
      </c>
      <c r="U98" s="238">
        <v>0</v>
      </c>
      <c r="V98" s="239"/>
      <c r="W98" s="238">
        <v>110</v>
      </c>
      <c r="X98" s="238">
        <v>77.142857142857139</v>
      </c>
      <c r="Y98" s="239"/>
      <c r="Z98" s="238">
        <v>11</v>
      </c>
      <c r="AA98" s="238">
        <v>135</v>
      </c>
      <c r="AB98" s="225"/>
    </row>
    <row r="99" spans="2:28">
      <c r="B99" s="224"/>
      <c r="C99" s="236">
        <v>57.5</v>
      </c>
      <c r="D99" s="236">
        <v>0</v>
      </c>
      <c r="E99" s="237"/>
      <c r="F99" s="236">
        <v>11.5</v>
      </c>
      <c r="G99" s="236">
        <v>0</v>
      </c>
      <c r="H99" s="237"/>
      <c r="I99" s="236">
        <v>115</v>
      </c>
      <c r="J99" s="236">
        <v>65</v>
      </c>
      <c r="K99" s="237"/>
      <c r="L99" s="283">
        <v>11.5</v>
      </c>
      <c r="M99" s="283">
        <v>135</v>
      </c>
      <c r="N99" s="224"/>
      <c r="P99" s="225"/>
      <c r="Q99" s="238">
        <v>23</v>
      </c>
      <c r="R99" s="238">
        <v>50</v>
      </c>
      <c r="S99" s="239"/>
      <c r="T99" s="238">
        <v>11.5</v>
      </c>
      <c r="U99" s="238">
        <v>0</v>
      </c>
      <c r="V99" s="239"/>
      <c r="W99" s="238">
        <v>115</v>
      </c>
      <c r="X99" s="238">
        <v>72.857142857142847</v>
      </c>
      <c r="Y99" s="239"/>
      <c r="Z99" s="238">
        <v>11.5</v>
      </c>
      <c r="AA99" s="238">
        <v>135</v>
      </c>
      <c r="AB99" s="225"/>
    </row>
    <row r="100" spans="2:28">
      <c r="B100" s="224"/>
      <c r="C100" s="236">
        <v>60</v>
      </c>
      <c r="D100" s="236">
        <v>0</v>
      </c>
      <c r="E100" s="237"/>
      <c r="F100" s="236">
        <v>12</v>
      </c>
      <c r="G100" s="236">
        <v>0</v>
      </c>
      <c r="H100" s="237"/>
      <c r="I100" s="236">
        <v>120</v>
      </c>
      <c r="J100" s="236">
        <v>60</v>
      </c>
      <c r="K100" s="237"/>
      <c r="L100" s="283">
        <v>12</v>
      </c>
      <c r="M100" s="283">
        <v>135</v>
      </c>
      <c r="N100" s="224"/>
      <c r="P100" s="225"/>
      <c r="Q100" s="238">
        <v>24</v>
      </c>
      <c r="R100" s="238">
        <v>50</v>
      </c>
      <c r="S100" s="239"/>
      <c r="T100" s="238">
        <v>12</v>
      </c>
      <c r="U100" s="238">
        <v>0</v>
      </c>
      <c r="V100" s="239"/>
      <c r="W100" s="238">
        <v>120</v>
      </c>
      <c r="X100" s="238">
        <v>68.571428571428569</v>
      </c>
      <c r="Y100" s="239"/>
      <c r="Z100" s="238">
        <v>12</v>
      </c>
      <c r="AA100" s="238">
        <v>135</v>
      </c>
      <c r="AB100" s="225"/>
    </row>
    <row r="101" spans="2:28">
      <c r="B101" s="224"/>
      <c r="C101" s="236">
        <v>62.5</v>
      </c>
      <c r="D101" s="236">
        <v>0</v>
      </c>
      <c r="E101" s="237"/>
      <c r="F101" s="236"/>
      <c r="G101" s="236"/>
      <c r="H101" s="237"/>
      <c r="I101" s="236">
        <v>125</v>
      </c>
      <c r="J101" s="236">
        <v>55</v>
      </c>
      <c r="K101" s="237"/>
      <c r="L101" s="283">
        <v>12.5</v>
      </c>
      <c r="M101" s="283">
        <v>135</v>
      </c>
      <c r="N101" s="224"/>
      <c r="P101" s="225"/>
      <c r="Q101" s="238">
        <v>25</v>
      </c>
      <c r="R101" s="238">
        <v>50</v>
      </c>
      <c r="S101" s="239"/>
      <c r="T101" s="238"/>
      <c r="U101" s="238"/>
      <c r="V101" s="239"/>
      <c r="W101" s="238">
        <v>125</v>
      </c>
      <c r="X101" s="238">
        <v>64.285714285714278</v>
      </c>
      <c r="Y101" s="239"/>
      <c r="Z101" s="238">
        <v>12.5</v>
      </c>
      <c r="AA101" s="238">
        <v>135</v>
      </c>
      <c r="AB101" s="225"/>
    </row>
    <row r="102" spans="2:28">
      <c r="B102" s="224"/>
      <c r="C102" s="236">
        <v>65</v>
      </c>
      <c r="D102" s="236">
        <v>0</v>
      </c>
      <c r="E102" s="237"/>
      <c r="F102" s="236"/>
      <c r="G102" s="236"/>
      <c r="H102" s="237"/>
      <c r="I102" s="236">
        <v>130</v>
      </c>
      <c r="J102" s="236">
        <v>50</v>
      </c>
      <c r="K102" s="237"/>
      <c r="L102" s="283">
        <v>13</v>
      </c>
      <c r="M102" s="283">
        <v>135</v>
      </c>
      <c r="N102" s="224"/>
      <c r="P102" s="225"/>
      <c r="Q102" s="238">
        <v>26</v>
      </c>
      <c r="R102" s="238">
        <v>48.484848484848484</v>
      </c>
      <c r="S102" s="239"/>
      <c r="T102" s="238"/>
      <c r="U102" s="238"/>
      <c r="V102" s="239"/>
      <c r="W102" s="238">
        <v>130</v>
      </c>
      <c r="X102" s="238">
        <v>60</v>
      </c>
      <c r="Y102" s="239"/>
      <c r="Z102" s="238">
        <v>13</v>
      </c>
      <c r="AA102" s="238">
        <v>135</v>
      </c>
      <c r="AB102" s="225"/>
    </row>
    <row r="103" spans="2:28">
      <c r="B103" s="224"/>
      <c r="C103" s="236"/>
      <c r="D103" s="236"/>
      <c r="E103" s="237"/>
      <c r="F103" s="236"/>
      <c r="G103" s="236"/>
      <c r="H103" s="237"/>
      <c r="I103" s="236">
        <v>135</v>
      </c>
      <c r="J103" s="236">
        <v>45</v>
      </c>
      <c r="K103" s="237"/>
      <c r="L103" s="283">
        <v>13.5</v>
      </c>
      <c r="M103" s="283">
        <v>135</v>
      </c>
      <c r="N103" s="224"/>
      <c r="P103" s="225"/>
      <c r="Q103" s="238">
        <v>27</v>
      </c>
      <c r="R103" s="238">
        <v>46.969696969696969</v>
      </c>
      <c r="S103" s="239"/>
      <c r="T103" s="238"/>
      <c r="U103" s="238"/>
      <c r="V103" s="239"/>
      <c r="W103" s="238">
        <v>135</v>
      </c>
      <c r="X103" s="238">
        <v>55.714285714285708</v>
      </c>
      <c r="Y103" s="239"/>
      <c r="Z103" s="238">
        <v>13.5</v>
      </c>
      <c r="AA103" s="238">
        <v>135</v>
      </c>
      <c r="AB103" s="225"/>
    </row>
    <row r="104" spans="2:28">
      <c r="B104" s="224"/>
      <c r="C104" s="236"/>
      <c r="D104" s="236"/>
      <c r="E104" s="237"/>
      <c r="F104" s="236"/>
      <c r="G104" s="236"/>
      <c r="H104" s="237"/>
      <c r="I104" s="236">
        <v>140</v>
      </c>
      <c r="J104" s="236">
        <v>40</v>
      </c>
      <c r="K104" s="237"/>
      <c r="L104" s="283">
        <v>14</v>
      </c>
      <c r="M104" s="283">
        <v>135</v>
      </c>
      <c r="N104" s="224"/>
      <c r="P104" s="225"/>
      <c r="Q104" s="238">
        <v>28</v>
      </c>
      <c r="R104" s="238">
        <v>45.454545454545453</v>
      </c>
      <c r="S104" s="239"/>
      <c r="T104" s="238"/>
      <c r="U104" s="238"/>
      <c r="V104" s="239"/>
      <c r="W104" s="238">
        <v>140</v>
      </c>
      <c r="X104" s="238">
        <v>51.428571428571423</v>
      </c>
      <c r="Y104" s="239"/>
      <c r="Z104" s="238">
        <v>14</v>
      </c>
      <c r="AA104" s="238">
        <v>135</v>
      </c>
      <c r="AB104" s="225"/>
    </row>
    <row r="105" spans="2:28">
      <c r="B105" s="224"/>
      <c r="C105" s="236"/>
      <c r="D105" s="236"/>
      <c r="E105" s="237"/>
      <c r="F105" s="236"/>
      <c r="G105" s="236"/>
      <c r="H105" s="237"/>
      <c r="I105" s="236">
        <v>145</v>
      </c>
      <c r="J105" s="236">
        <v>35</v>
      </c>
      <c r="K105" s="237"/>
      <c r="L105" s="283">
        <v>14.5</v>
      </c>
      <c r="M105" s="283">
        <v>135</v>
      </c>
      <c r="N105" s="224"/>
      <c r="P105" s="225"/>
      <c r="Q105" s="238">
        <v>29</v>
      </c>
      <c r="R105" s="238">
        <v>43.939393939393938</v>
      </c>
      <c r="S105" s="239"/>
      <c r="T105" s="238"/>
      <c r="U105" s="238"/>
      <c r="V105" s="239"/>
      <c r="W105" s="238">
        <v>145</v>
      </c>
      <c r="X105" s="238">
        <v>47.142857142857139</v>
      </c>
      <c r="Y105" s="239"/>
      <c r="Z105" s="238">
        <v>14.5</v>
      </c>
      <c r="AA105" s="238">
        <v>135</v>
      </c>
      <c r="AB105" s="225"/>
    </row>
    <row r="106" spans="2:28">
      <c r="B106" s="224"/>
      <c r="C106" s="236"/>
      <c r="D106" s="236"/>
      <c r="E106" s="237"/>
      <c r="F106" s="236"/>
      <c r="G106" s="236"/>
      <c r="H106" s="237"/>
      <c r="I106" s="236">
        <v>150</v>
      </c>
      <c r="J106" s="236">
        <v>30</v>
      </c>
      <c r="K106" s="237"/>
      <c r="L106" s="283">
        <v>15</v>
      </c>
      <c r="M106" s="283">
        <v>135</v>
      </c>
      <c r="N106" s="224"/>
      <c r="P106" s="225"/>
      <c r="Q106" s="238">
        <v>30</v>
      </c>
      <c r="R106" s="238">
        <v>42.424242424242422</v>
      </c>
      <c r="S106" s="239"/>
      <c r="T106" s="238"/>
      <c r="U106" s="238"/>
      <c r="V106" s="239"/>
      <c r="W106" s="238">
        <v>150</v>
      </c>
      <c r="X106" s="238">
        <v>42.857142857142854</v>
      </c>
      <c r="Y106" s="239"/>
      <c r="Z106" s="238">
        <v>15</v>
      </c>
      <c r="AA106" s="238">
        <v>135</v>
      </c>
      <c r="AB106" s="225"/>
    </row>
    <row r="107" spans="2:28">
      <c r="B107" s="224"/>
      <c r="C107" s="236"/>
      <c r="D107" s="236"/>
      <c r="E107" s="237"/>
      <c r="F107" s="236"/>
      <c r="G107" s="236"/>
      <c r="H107" s="237"/>
      <c r="I107" s="236">
        <v>155</v>
      </c>
      <c r="J107" s="236">
        <v>25</v>
      </c>
      <c r="K107" s="237"/>
      <c r="L107" s="283">
        <v>15.5</v>
      </c>
      <c r="M107" s="283">
        <v>135</v>
      </c>
      <c r="N107" s="224"/>
      <c r="P107" s="225"/>
      <c r="Q107" s="238">
        <v>31</v>
      </c>
      <c r="R107" s="238">
        <v>40.909090909090907</v>
      </c>
      <c r="S107" s="239"/>
      <c r="T107" s="238"/>
      <c r="U107" s="238"/>
      <c r="V107" s="239"/>
      <c r="W107" s="238">
        <v>155</v>
      </c>
      <c r="X107" s="238">
        <v>38.571428571428569</v>
      </c>
      <c r="Y107" s="239"/>
      <c r="Z107" s="238">
        <v>15.5</v>
      </c>
      <c r="AA107" s="238">
        <v>135</v>
      </c>
      <c r="AB107" s="225"/>
    </row>
    <row r="108" spans="2:28">
      <c r="B108" s="224"/>
      <c r="C108" s="236"/>
      <c r="D108" s="236"/>
      <c r="E108" s="237"/>
      <c r="F108" s="236"/>
      <c r="G108" s="236"/>
      <c r="H108" s="237"/>
      <c r="I108" s="236">
        <v>160</v>
      </c>
      <c r="J108" s="236">
        <v>20</v>
      </c>
      <c r="K108" s="237"/>
      <c r="L108" s="283">
        <v>16</v>
      </c>
      <c r="M108" s="283">
        <v>135</v>
      </c>
      <c r="N108" s="224"/>
      <c r="P108" s="225"/>
      <c r="Q108" s="238">
        <v>32</v>
      </c>
      <c r="R108" s="238">
        <v>39.393939393939391</v>
      </c>
      <c r="S108" s="239"/>
      <c r="T108" s="238"/>
      <c r="U108" s="238"/>
      <c r="V108" s="239"/>
      <c r="W108" s="238">
        <v>160</v>
      </c>
      <c r="X108" s="238">
        <v>34.285714285714285</v>
      </c>
      <c r="Y108" s="239"/>
      <c r="Z108" s="238">
        <v>16</v>
      </c>
      <c r="AA108" s="238">
        <v>135</v>
      </c>
      <c r="AB108" s="225"/>
    </row>
    <row r="109" spans="2:28">
      <c r="B109" s="224"/>
      <c r="C109" s="236"/>
      <c r="D109" s="236"/>
      <c r="E109" s="237"/>
      <c r="F109" s="236"/>
      <c r="G109" s="236"/>
      <c r="H109" s="237"/>
      <c r="I109" s="236">
        <v>165</v>
      </c>
      <c r="J109" s="236">
        <v>15</v>
      </c>
      <c r="K109" s="237"/>
      <c r="L109" s="283">
        <v>16.5</v>
      </c>
      <c r="M109" s="283">
        <v>135</v>
      </c>
      <c r="N109" s="224"/>
      <c r="P109" s="225"/>
      <c r="Q109" s="238">
        <v>33</v>
      </c>
      <c r="R109" s="238">
        <v>37.878787878787875</v>
      </c>
      <c r="S109" s="239"/>
      <c r="T109" s="238"/>
      <c r="U109" s="238"/>
      <c r="V109" s="239"/>
      <c r="W109" s="238">
        <v>165</v>
      </c>
      <c r="X109" s="238">
        <v>30</v>
      </c>
      <c r="Y109" s="239"/>
      <c r="Z109" s="238">
        <v>16.5</v>
      </c>
      <c r="AA109" s="238">
        <v>135</v>
      </c>
      <c r="AB109" s="225"/>
    </row>
    <row r="110" spans="2:28">
      <c r="B110" s="224"/>
      <c r="C110" s="236"/>
      <c r="D110" s="236"/>
      <c r="E110" s="237"/>
      <c r="F110" s="236"/>
      <c r="G110" s="236"/>
      <c r="H110" s="237"/>
      <c r="I110" s="236">
        <v>170</v>
      </c>
      <c r="J110" s="236">
        <v>10</v>
      </c>
      <c r="K110" s="237"/>
      <c r="L110" s="283">
        <v>17</v>
      </c>
      <c r="M110" s="283">
        <v>135</v>
      </c>
      <c r="N110" s="224"/>
      <c r="P110" s="225"/>
      <c r="Q110" s="238">
        <v>34</v>
      </c>
      <c r="R110" s="238">
        <v>36.36363636363636</v>
      </c>
      <c r="S110" s="239"/>
      <c r="T110" s="238"/>
      <c r="U110" s="238"/>
      <c r="V110" s="239"/>
      <c r="W110" s="238">
        <v>170</v>
      </c>
      <c r="X110" s="238">
        <v>25.714285714285712</v>
      </c>
      <c r="Y110" s="239"/>
      <c r="Z110" s="238">
        <v>17</v>
      </c>
      <c r="AA110" s="238">
        <v>135</v>
      </c>
      <c r="AB110" s="225"/>
    </row>
    <row r="111" spans="2:28">
      <c r="B111" s="224"/>
      <c r="C111" s="236"/>
      <c r="D111" s="236"/>
      <c r="E111" s="237"/>
      <c r="F111" s="236"/>
      <c r="G111" s="236"/>
      <c r="H111" s="237"/>
      <c r="I111" s="236">
        <v>175</v>
      </c>
      <c r="J111" s="236">
        <v>5</v>
      </c>
      <c r="K111" s="237"/>
      <c r="L111" s="283">
        <v>17.5</v>
      </c>
      <c r="M111" s="283">
        <v>135</v>
      </c>
      <c r="N111" s="224"/>
      <c r="P111" s="225"/>
      <c r="Q111" s="238">
        <v>35</v>
      </c>
      <c r="R111" s="238">
        <v>34.848484848484851</v>
      </c>
      <c r="S111" s="239"/>
      <c r="T111" s="238"/>
      <c r="U111" s="238"/>
      <c r="V111" s="239"/>
      <c r="W111" s="238">
        <v>175</v>
      </c>
      <c r="X111" s="238">
        <v>21.428571428571427</v>
      </c>
      <c r="Y111" s="239"/>
      <c r="Z111" s="238">
        <v>17.5</v>
      </c>
      <c r="AA111" s="238">
        <v>135</v>
      </c>
      <c r="AB111" s="225"/>
    </row>
    <row r="112" spans="2:28">
      <c r="B112" s="224"/>
      <c r="C112" s="236"/>
      <c r="D112" s="236"/>
      <c r="E112" s="237"/>
      <c r="F112" s="236"/>
      <c r="G112" s="236"/>
      <c r="H112" s="237"/>
      <c r="I112" s="236">
        <v>180</v>
      </c>
      <c r="J112" s="236">
        <v>0</v>
      </c>
      <c r="K112" s="237"/>
      <c r="L112" s="283">
        <v>18</v>
      </c>
      <c r="M112" s="283">
        <v>135</v>
      </c>
      <c r="N112" s="224"/>
      <c r="P112" s="225"/>
      <c r="Q112" s="238">
        <v>36</v>
      </c>
      <c r="R112" s="238">
        <v>33.333333333333336</v>
      </c>
      <c r="S112" s="239"/>
      <c r="T112" s="238"/>
      <c r="U112" s="238"/>
      <c r="V112" s="239"/>
      <c r="W112" s="238">
        <v>180</v>
      </c>
      <c r="X112" s="238">
        <v>17.142857142857142</v>
      </c>
      <c r="Y112" s="239"/>
      <c r="Z112" s="238">
        <v>18</v>
      </c>
      <c r="AA112" s="238">
        <v>135</v>
      </c>
      <c r="AB112" s="225"/>
    </row>
    <row r="113" spans="2:28">
      <c r="B113" s="224"/>
      <c r="C113" s="236"/>
      <c r="D113" s="236"/>
      <c r="E113" s="237"/>
      <c r="F113" s="236"/>
      <c r="G113" s="236"/>
      <c r="H113" s="237"/>
      <c r="I113" s="236">
        <v>185</v>
      </c>
      <c r="J113" s="236">
        <v>0</v>
      </c>
      <c r="K113" s="237"/>
      <c r="L113" s="283">
        <v>18.5</v>
      </c>
      <c r="M113" s="283">
        <v>135</v>
      </c>
      <c r="N113" s="224"/>
      <c r="P113" s="225"/>
      <c r="Q113" s="238">
        <v>37</v>
      </c>
      <c r="R113" s="238">
        <v>31.818181818181817</v>
      </c>
      <c r="S113" s="239"/>
      <c r="T113" s="238"/>
      <c r="U113" s="238"/>
      <c r="V113" s="239"/>
      <c r="W113" s="238">
        <v>185</v>
      </c>
      <c r="X113" s="238">
        <v>12.857142857142856</v>
      </c>
      <c r="Y113" s="239"/>
      <c r="Z113" s="238">
        <v>18.5</v>
      </c>
      <c r="AA113" s="238">
        <v>135</v>
      </c>
      <c r="AB113" s="225"/>
    </row>
    <row r="114" spans="2:28">
      <c r="B114" s="224"/>
      <c r="C114" s="236"/>
      <c r="D114" s="236"/>
      <c r="E114" s="237"/>
      <c r="F114" s="236"/>
      <c r="G114" s="236"/>
      <c r="H114" s="237"/>
      <c r="I114" s="236">
        <v>190</v>
      </c>
      <c r="J114" s="236">
        <v>0</v>
      </c>
      <c r="K114" s="237"/>
      <c r="L114" s="283">
        <v>19</v>
      </c>
      <c r="M114" s="283">
        <v>135</v>
      </c>
      <c r="N114" s="224"/>
      <c r="P114" s="225"/>
      <c r="Q114" s="238">
        <v>38</v>
      </c>
      <c r="R114" s="238">
        <v>30.303030303030305</v>
      </c>
      <c r="S114" s="239"/>
      <c r="T114" s="238"/>
      <c r="U114" s="238"/>
      <c r="V114" s="239"/>
      <c r="W114" s="238">
        <v>190</v>
      </c>
      <c r="X114" s="238">
        <v>8.5714285714285712</v>
      </c>
      <c r="Y114" s="239"/>
      <c r="Z114" s="238">
        <v>19</v>
      </c>
      <c r="AA114" s="238">
        <v>135</v>
      </c>
      <c r="AB114" s="225"/>
    </row>
    <row r="115" spans="2:28">
      <c r="B115" s="224"/>
      <c r="C115" s="236"/>
      <c r="D115" s="236"/>
      <c r="E115" s="237"/>
      <c r="F115" s="236"/>
      <c r="G115" s="236"/>
      <c r="H115" s="237"/>
      <c r="I115" s="236">
        <v>195</v>
      </c>
      <c r="J115" s="236">
        <v>0</v>
      </c>
      <c r="K115" s="237"/>
      <c r="L115" s="283">
        <v>19.5</v>
      </c>
      <c r="M115" s="283">
        <v>135</v>
      </c>
      <c r="N115" s="224"/>
      <c r="P115" s="225"/>
      <c r="Q115" s="238">
        <v>39</v>
      </c>
      <c r="R115" s="238">
        <v>28.787878787878789</v>
      </c>
      <c r="S115" s="239"/>
      <c r="T115" s="238"/>
      <c r="U115" s="238"/>
      <c r="V115" s="239"/>
      <c r="W115" s="238">
        <v>195</v>
      </c>
      <c r="X115" s="238">
        <v>4.2857142857142856</v>
      </c>
      <c r="Y115" s="239"/>
      <c r="Z115" s="238">
        <v>19.5</v>
      </c>
      <c r="AA115" s="238">
        <v>135</v>
      </c>
      <c r="AB115" s="225"/>
    </row>
    <row r="116" spans="2:28">
      <c r="B116" s="224"/>
      <c r="C116" s="236"/>
      <c r="D116" s="236"/>
      <c r="E116" s="237"/>
      <c r="F116" s="236"/>
      <c r="G116" s="236"/>
      <c r="H116" s="237"/>
      <c r="I116" s="236">
        <v>200</v>
      </c>
      <c r="J116" s="236">
        <v>0</v>
      </c>
      <c r="K116" s="237"/>
      <c r="L116" s="283">
        <v>20</v>
      </c>
      <c r="M116" s="283">
        <v>135</v>
      </c>
      <c r="N116" s="224"/>
      <c r="P116" s="225"/>
      <c r="Q116" s="238">
        <v>40</v>
      </c>
      <c r="R116" s="238">
        <v>27.272727272727273</v>
      </c>
      <c r="S116" s="239"/>
      <c r="T116" s="238"/>
      <c r="U116" s="238"/>
      <c r="V116" s="239"/>
      <c r="W116" s="238">
        <v>200</v>
      </c>
      <c r="X116" s="238">
        <v>0</v>
      </c>
      <c r="Y116" s="239"/>
      <c r="Z116" s="238">
        <v>20</v>
      </c>
      <c r="AA116" s="238">
        <v>135</v>
      </c>
      <c r="AB116" s="225"/>
    </row>
    <row r="117" spans="2:28">
      <c r="B117" s="224"/>
      <c r="C117" s="236"/>
      <c r="D117" s="236"/>
      <c r="E117" s="237"/>
      <c r="F117" s="236"/>
      <c r="G117" s="236"/>
      <c r="H117" s="237"/>
      <c r="I117" s="236">
        <v>205</v>
      </c>
      <c r="J117" s="236">
        <v>0</v>
      </c>
      <c r="K117" s="237"/>
      <c r="L117" s="283">
        <v>20.5</v>
      </c>
      <c r="M117" s="283">
        <v>135</v>
      </c>
      <c r="N117" s="224"/>
      <c r="P117" s="225"/>
      <c r="Q117" s="238">
        <v>41</v>
      </c>
      <c r="R117" s="238">
        <v>25.757575757575758</v>
      </c>
      <c r="S117" s="239"/>
      <c r="T117" s="238"/>
      <c r="U117" s="238"/>
      <c r="V117" s="239"/>
      <c r="W117" s="238">
        <v>205</v>
      </c>
      <c r="X117" s="238">
        <v>0</v>
      </c>
      <c r="Y117" s="239"/>
      <c r="Z117" s="238">
        <v>20.5</v>
      </c>
      <c r="AA117" s="238">
        <v>135</v>
      </c>
      <c r="AB117" s="225"/>
    </row>
    <row r="118" spans="2:28">
      <c r="B118" s="224"/>
      <c r="C118" s="236"/>
      <c r="D118" s="236"/>
      <c r="E118" s="237"/>
      <c r="F118" s="236"/>
      <c r="G118" s="236"/>
      <c r="H118" s="237"/>
      <c r="I118" s="236">
        <v>210</v>
      </c>
      <c r="J118" s="236">
        <v>0</v>
      </c>
      <c r="K118" s="237"/>
      <c r="L118" s="283">
        <v>21</v>
      </c>
      <c r="M118" s="283">
        <v>135</v>
      </c>
      <c r="N118" s="224"/>
      <c r="P118" s="225"/>
      <c r="Q118" s="238">
        <v>42</v>
      </c>
      <c r="R118" s="238">
        <v>24.242424242424242</v>
      </c>
      <c r="S118" s="239"/>
      <c r="T118" s="238"/>
      <c r="U118" s="238"/>
      <c r="V118" s="239"/>
      <c r="W118" s="238">
        <v>210</v>
      </c>
      <c r="X118" s="238">
        <v>0</v>
      </c>
      <c r="Y118" s="239"/>
      <c r="Z118" s="238">
        <v>21</v>
      </c>
      <c r="AA118" s="238">
        <v>135</v>
      </c>
      <c r="AB118" s="225"/>
    </row>
    <row r="119" spans="2:28">
      <c r="B119" s="224"/>
      <c r="C119" s="236"/>
      <c r="D119" s="236"/>
      <c r="E119" s="237"/>
      <c r="F119" s="236"/>
      <c r="G119" s="236"/>
      <c r="H119" s="237"/>
      <c r="I119" s="236"/>
      <c r="J119" s="236"/>
      <c r="K119" s="237"/>
      <c r="L119" s="283">
        <v>21.5</v>
      </c>
      <c r="M119" s="283">
        <v>135</v>
      </c>
      <c r="N119" s="224"/>
      <c r="P119" s="225"/>
      <c r="Q119" s="238">
        <v>43</v>
      </c>
      <c r="R119" s="238">
        <v>22.727272727272727</v>
      </c>
      <c r="S119" s="239"/>
      <c r="T119" s="238"/>
      <c r="U119" s="238"/>
      <c r="V119" s="239"/>
      <c r="W119" s="238"/>
      <c r="X119" s="238"/>
      <c r="Y119" s="239"/>
      <c r="Z119" s="238">
        <v>21.5</v>
      </c>
      <c r="AA119" s="238">
        <v>135</v>
      </c>
      <c r="AB119" s="225"/>
    </row>
    <row r="120" spans="2:28">
      <c r="B120" s="224"/>
      <c r="C120" s="236"/>
      <c r="D120" s="236"/>
      <c r="E120" s="237"/>
      <c r="F120" s="236"/>
      <c r="G120" s="236"/>
      <c r="H120" s="237"/>
      <c r="I120" s="236"/>
      <c r="J120" s="236"/>
      <c r="K120" s="237"/>
      <c r="L120" s="283">
        <v>22</v>
      </c>
      <c r="M120" s="283">
        <v>135</v>
      </c>
      <c r="N120" s="224"/>
      <c r="P120" s="225"/>
      <c r="Q120" s="238">
        <v>44</v>
      </c>
      <c r="R120" s="238">
        <v>21.212121212121211</v>
      </c>
      <c r="S120" s="239"/>
      <c r="T120" s="238"/>
      <c r="U120" s="238"/>
      <c r="V120" s="239"/>
      <c r="W120" s="238"/>
      <c r="X120" s="238"/>
      <c r="Y120" s="239"/>
      <c r="Z120" s="238">
        <v>22</v>
      </c>
      <c r="AA120" s="238">
        <v>135</v>
      </c>
      <c r="AB120" s="225"/>
    </row>
    <row r="121" spans="2:28">
      <c r="B121" s="224"/>
      <c r="C121" s="236"/>
      <c r="D121" s="236"/>
      <c r="E121" s="237"/>
      <c r="F121" s="236"/>
      <c r="G121" s="236"/>
      <c r="H121" s="237"/>
      <c r="I121" s="236"/>
      <c r="J121" s="236"/>
      <c r="K121" s="237"/>
      <c r="L121" s="283">
        <v>22.5</v>
      </c>
      <c r="M121" s="283">
        <v>135</v>
      </c>
      <c r="N121" s="224"/>
      <c r="P121" s="225"/>
      <c r="Q121" s="238">
        <v>45</v>
      </c>
      <c r="R121" s="238">
        <v>19.696969696969695</v>
      </c>
      <c r="S121" s="239"/>
      <c r="T121" s="238"/>
      <c r="U121" s="238"/>
      <c r="V121" s="239"/>
      <c r="W121" s="238"/>
      <c r="X121" s="238"/>
      <c r="Y121" s="239"/>
      <c r="Z121" s="238">
        <v>22.5</v>
      </c>
      <c r="AA121" s="238">
        <v>135</v>
      </c>
      <c r="AB121" s="225"/>
    </row>
    <row r="122" spans="2:28">
      <c r="B122" s="224"/>
      <c r="C122" s="236"/>
      <c r="D122" s="236"/>
      <c r="E122" s="237"/>
      <c r="F122" s="236"/>
      <c r="G122" s="236"/>
      <c r="H122" s="237"/>
      <c r="I122" s="236"/>
      <c r="J122" s="236"/>
      <c r="K122" s="237"/>
      <c r="L122" s="283">
        <v>23</v>
      </c>
      <c r="M122" s="283">
        <v>135</v>
      </c>
      <c r="N122" s="224"/>
      <c r="P122" s="225"/>
      <c r="Q122" s="238">
        <v>46</v>
      </c>
      <c r="R122" s="238">
        <v>18.18181818181818</v>
      </c>
      <c r="S122" s="239"/>
      <c r="T122" s="238"/>
      <c r="U122" s="238"/>
      <c r="V122" s="239"/>
      <c r="W122" s="238"/>
      <c r="X122" s="238"/>
      <c r="Y122" s="239"/>
      <c r="Z122" s="238">
        <v>23</v>
      </c>
      <c r="AA122" s="238">
        <v>135</v>
      </c>
      <c r="AB122" s="225"/>
    </row>
    <row r="123" spans="2:28">
      <c r="B123" s="224"/>
      <c r="C123" s="236"/>
      <c r="D123" s="236"/>
      <c r="E123" s="237"/>
      <c r="F123" s="236"/>
      <c r="G123" s="236"/>
      <c r="H123" s="237"/>
      <c r="I123" s="236"/>
      <c r="J123" s="236"/>
      <c r="K123" s="237"/>
      <c r="L123" s="283">
        <v>23.5</v>
      </c>
      <c r="M123" s="283">
        <v>135</v>
      </c>
      <c r="N123" s="224"/>
      <c r="P123" s="225"/>
      <c r="Q123" s="238">
        <v>47</v>
      </c>
      <c r="R123" s="238">
        <v>16.666666666666668</v>
      </c>
      <c r="S123" s="239"/>
      <c r="T123" s="238"/>
      <c r="U123" s="238"/>
      <c r="V123" s="239"/>
      <c r="W123" s="238"/>
      <c r="X123" s="238"/>
      <c r="Y123" s="239"/>
      <c r="Z123" s="238">
        <v>23.5</v>
      </c>
      <c r="AA123" s="238">
        <v>135</v>
      </c>
      <c r="AB123" s="225"/>
    </row>
    <row r="124" spans="2:28">
      <c r="B124" s="224"/>
      <c r="C124" s="236"/>
      <c r="D124" s="236"/>
      <c r="E124" s="237"/>
      <c r="F124" s="236"/>
      <c r="G124" s="236"/>
      <c r="H124" s="237"/>
      <c r="I124" s="236"/>
      <c r="J124" s="236"/>
      <c r="K124" s="237"/>
      <c r="L124" s="283">
        <v>24</v>
      </c>
      <c r="M124" s="283">
        <v>135</v>
      </c>
      <c r="N124" s="224"/>
      <c r="P124" s="225"/>
      <c r="Q124" s="238">
        <v>48</v>
      </c>
      <c r="R124" s="238">
        <v>15.151515151515152</v>
      </c>
      <c r="S124" s="239"/>
      <c r="T124" s="238"/>
      <c r="U124" s="238"/>
      <c r="V124" s="239"/>
      <c r="W124" s="238"/>
      <c r="X124" s="238"/>
      <c r="Y124" s="239"/>
      <c r="Z124" s="238">
        <v>24</v>
      </c>
      <c r="AA124" s="238">
        <v>135</v>
      </c>
      <c r="AB124" s="225"/>
    </row>
    <row r="125" spans="2:28">
      <c r="B125" s="224"/>
      <c r="C125" s="236"/>
      <c r="D125" s="236"/>
      <c r="E125" s="237"/>
      <c r="F125" s="236"/>
      <c r="G125" s="236"/>
      <c r="H125" s="237"/>
      <c r="I125" s="236"/>
      <c r="J125" s="236"/>
      <c r="K125" s="237"/>
      <c r="L125" s="283">
        <v>24.5</v>
      </c>
      <c r="M125" s="283">
        <v>135</v>
      </c>
      <c r="N125" s="224"/>
      <c r="P125" s="225"/>
      <c r="Q125" s="238">
        <v>49</v>
      </c>
      <c r="R125" s="238">
        <v>13.636363636363637</v>
      </c>
      <c r="S125" s="239"/>
      <c r="T125" s="238"/>
      <c r="U125" s="238"/>
      <c r="V125" s="239"/>
      <c r="W125" s="238"/>
      <c r="X125" s="238"/>
      <c r="Y125" s="239"/>
      <c r="Z125" s="238">
        <v>24.5</v>
      </c>
      <c r="AA125" s="238">
        <v>135</v>
      </c>
      <c r="AB125" s="225"/>
    </row>
    <row r="126" spans="2:28">
      <c r="B126" s="224"/>
      <c r="C126" s="236"/>
      <c r="D126" s="236"/>
      <c r="E126" s="237"/>
      <c r="F126" s="236"/>
      <c r="G126" s="236"/>
      <c r="H126" s="237"/>
      <c r="I126" s="236"/>
      <c r="J126" s="236"/>
      <c r="K126" s="237"/>
      <c r="L126" s="283">
        <v>25</v>
      </c>
      <c r="M126" s="283">
        <v>135</v>
      </c>
      <c r="N126" s="224"/>
      <c r="P126" s="225"/>
      <c r="Q126" s="238">
        <v>50</v>
      </c>
      <c r="R126" s="238">
        <v>12.121212121212121</v>
      </c>
      <c r="S126" s="239"/>
      <c r="T126" s="238"/>
      <c r="U126" s="238"/>
      <c r="V126" s="239"/>
      <c r="W126" s="238"/>
      <c r="X126" s="238"/>
      <c r="Y126" s="239"/>
      <c r="Z126" s="238">
        <v>25</v>
      </c>
      <c r="AA126" s="238">
        <v>135</v>
      </c>
      <c r="AB126" s="225"/>
    </row>
    <row r="127" spans="2:28">
      <c r="B127" s="224"/>
      <c r="C127" s="236"/>
      <c r="D127" s="236"/>
      <c r="E127" s="237"/>
      <c r="F127" s="236"/>
      <c r="G127" s="236"/>
      <c r="H127" s="237"/>
      <c r="I127" s="236"/>
      <c r="J127" s="236"/>
      <c r="K127" s="237"/>
      <c r="L127" s="283">
        <v>25.5</v>
      </c>
      <c r="M127" s="283">
        <v>128.25</v>
      </c>
      <c r="N127" s="224"/>
      <c r="P127" s="225"/>
      <c r="Q127" s="238">
        <v>51</v>
      </c>
      <c r="R127" s="238">
        <v>10.606060606060606</v>
      </c>
      <c r="S127" s="239"/>
      <c r="T127" s="238"/>
      <c r="U127" s="238"/>
      <c r="V127" s="239"/>
      <c r="W127" s="238"/>
      <c r="X127" s="238"/>
      <c r="Y127" s="239"/>
      <c r="Z127" s="238">
        <v>25.5</v>
      </c>
      <c r="AA127" s="238">
        <v>135</v>
      </c>
      <c r="AB127" s="225"/>
    </row>
    <row r="128" spans="2:28">
      <c r="B128" s="224"/>
      <c r="C128" s="236"/>
      <c r="D128" s="236"/>
      <c r="E128" s="237"/>
      <c r="F128" s="236"/>
      <c r="G128" s="236"/>
      <c r="H128" s="237"/>
      <c r="I128" s="236"/>
      <c r="J128" s="236"/>
      <c r="K128" s="237"/>
      <c r="L128" s="283">
        <v>26</v>
      </c>
      <c r="M128" s="283">
        <v>121.5</v>
      </c>
      <c r="N128" s="224"/>
      <c r="P128" s="225"/>
      <c r="Q128" s="238">
        <v>52</v>
      </c>
      <c r="R128" s="238">
        <v>9.0909090909090899</v>
      </c>
      <c r="S128" s="239"/>
      <c r="T128" s="238"/>
      <c r="U128" s="238"/>
      <c r="V128" s="239"/>
      <c r="W128" s="238"/>
      <c r="X128" s="238"/>
      <c r="Y128" s="239"/>
      <c r="Z128" s="238">
        <v>26</v>
      </c>
      <c r="AA128" s="238">
        <v>135</v>
      </c>
      <c r="AB128" s="225"/>
    </row>
    <row r="129" spans="2:28">
      <c r="B129" s="224"/>
      <c r="C129" s="236"/>
      <c r="D129" s="236"/>
      <c r="E129" s="237"/>
      <c r="F129" s="236"/>
      <c r="G129" s="236"/>
      <c r="H129" s="237"/>
      <c r="I129" s="236"/>
      <c r="J129" s="236"/>
      <c r="K129" s="237"/>
      <c r="L129" s="283">
        <v>26.5</v>
      </c>
      <c r="M129" s="283">
        <v>114.75</v>
      </c>
      <c r="N129" s="224"/>
      <c r="P129" s="225"/>
      <c r="Q129" s="238">
        <v>53</v>
      </c>
      <c r="R129" s="238">
        <v>7.5757575757575761</v>
      </c>
      <c r="S129" s="239"/>
      <c r="T129" s="238"/>
      <c r="U129" s="238"/>
      <c r="V129" s="239"/>
      <c r="W129" s="238"/>
      <c r="X129" s="238"/>
      <c r="Y129" s="239"/>
      <c r="Z129" s="238">
        <v>26.5</v>
      </c>
      <c r="AA129" s="238">
        <v>135</v>
      </c>
      <c r="AB129" s="225"/>
    </row>
    <row r="130" spans="2:28">
      <c r="B130" s="224"/>
      <c r="C130" s="236"/>
      <c r="D130" s="236"/>
      <c r="E130" s="237"/>
      <c r="F130" s="236"/>
      <c r="G130" s="236"/>
      <c r="H130" s="237"/>
      <c r="I130" s="236"/>
      <c r="J130" s="236"/>
      <c r="K130" s="237"/>
      <c r="L130" s="283">
        <v>27</v>
      </c>
      <c r="M130" s="283">
        <v>108</v>
      </c>
      <c r="N130" s="224"/>
      <c r="P130" s="225"/>
      <c r="Q130" s="238">
        <v>54</v>
      </c>
      <c r="R130" s="238">
        <v>6.0606060606060606</v>
      </c>
      <c r="S130" s="239"/>
      <c r="T130" s="238"/>
      <c r="U130" s="238"/>
      <c r="V130" s="239"/>
      <c r="W130" s="238"/>
      <c r="X130" s="238"/>
      <c r="Y130" s="239"/>
      <c r="Z130" s="238">
        <v>27</v>
      </c>
      <c r="AA130" s="238">
        <v>135</v>
      </c>
      <c r="AB130" s="225"/>
    </row>
    <row r="131" spans="2:28">
      <c r="B131" s="224"/>
      <c r="C131" s="236"/>
      <c r="D131" s="236"/>
      <c r="E131" s="237"/>
      <c r="F131" s="236"/>
      <c r="G131" s="236"/>
      <c r="H131" s="237"/>
      <c r="I131" s="236"/>
      <c r="J131" s="236"/>
      <c r="K131" s="237"/>
      <c r="L131" s="283">
        <v>27.5</v>
      </c>
      <c r="M131" s="283">
        <v>101.25</v>
      </c>
      <c r="N131" s="224"/>
      <c r="P131" s="225"/>
      <c r="Q131" s="238">
        <v>55</v>
      </c>
      <c r="R131" s="238">
        <v>4.545454545454545</v>
      </c>
      <c r="S131" s="239"/>
      <c r="T131" s="238"/>
      <c r="U131" s="238"/>
      <c r="V131" s="239"/>
      <c r="W131" s="238"/>
      <c r="X131" s="238"/>
      <c r="Y131" s="239"/>
      <c r="Z131" s="238">
        <v>27.5</v>
      </c>
      <c r="AA131" s="238">
        <v>135</v>
      </c>
      <c r="AB131" s="225"/>
    </row>
    <row r="132" spans="2:28">
      <c r="B132" s="224"/>
      <c r="C132" s="236"/>
      <c r="D132" s="236"/>
      <c r="E132" s="237"/>
      <c r="F132" s="236"/>
      <c r="G132" s="236"/>
      <c r="H132" s="237"/>
      <c r="I132" s="236"/>
      <c r="J132" s="236"/>
      <c r="K132" s="237"/>
      <c r="L132" s="283">
        <v>28</v>
      </c>
      <c r="M132" s="283">
        <v>94.5</v>
      </c>
      <c r="N132" s="224"/>
      <c r="P132" s="225"/>
      <c r="Q132" s="238">
        <v>56</v>
      </c>
      <c r="R132" s="238">
        <v>3.0303030303030303</v>
      </c>
      <c r="S132" s="239"/>
      <c r="T132" s="238"/>
      <c r="U132" s="238"/>
      <c r="V132" s="239"/>
      <c r="W132" s="238"/>
      <c r="X132" s="238"/>
      <c r="Y132" s="239"/>
      <c r="Z132" s="238">
        <v>28</v>
      </c>
      <c r="AA132" s="238">
        <v>135</v>
      </c>
      <c r="AB132" s="225"/>
    </row>
    <row r="133" spans="2:28">
      <c r="B133" s="224"/>
      <c r="C133" s="236"/>
      <c r="D133" s="236"/>
      <c r="E133" s="237"/>
      <c r="F133" s="236"/>
      <c r="G133" s="236"/>
      <c r="H133" s="237"/>
      <c r="I133" s="236"/>
      <c r="J133" s="236"/>
      <c r="K133" s="237"/>
      <c r="L133" s="283">
        <v>28.5</v>
      </c>
      <c r="M133" s="283">
        <v>87.75</v>
      </c>
      <c r="N133" s="224"/>
      <c r="P133" s="225"/>
      <c r="Q133" s="238">
        <v>57</v>
      </c>
      <c r="R133" s="238">
        <v>1.5151515151515151</v>
      </c>
      <c r="S133" s="239"/>
      <c r="T133" s="238"/>
      <c r="U133" s="238"/>
      <c r="V133" s="239"/>
      <c r="W133" s="238"/>
      <c r="X133" s="238"/>
      <c r="Y133" s="239"/>
      <c r="Z133" s="238">
        <v>28.5</v>
      </c>
      <c r="AA133" s="238">
        <v>135</v>
      </c>
      <c r="AB133" s="225"/>
    </row>
    <row r="134" spans="2:28">
      <c r="B134" s="224"/>
      <c r="C134" s="236"/>
      <c r="D134" s="236"/>
      <c r="E134" s="237"/>
      <c r="F134" s="236"/>
      <c r="G134" s="236"/>
      <c r="H134" s="237"/>
      <c r="I134" s="236"/>
      <c r="J134" s="236"/>
      <c r="K134" s="237"/>
      <c r="L134" s="283">
        <v>29</v>
      </c>
      <c r="M134" s="283">
        <v>81</v>
      </c>
      <c r="N134" s="224"/>
      <c r="P134" s="225"/>
      <c r="Q134" s="238">
        <v>58</v>
      </c>
      <c r="R134" s="238">
        <v>0</v>
      </c>
      <c r="S134" s="239"/>
      <c r="T134" s="238"/>
      <c r="U134" s="238"/>
      <c r="V134" s="239"/>
      <c r="W134" s="238"/>
      <c r="X134" s="238"/>
      <c r="Y134" s="239"/>
      <c r="Z134" s="238">
        <v>29</v>
      </c>
      <c r="AA134" s="238">
        <v>130.90909090909091</v>
      </c>
      <c r="AB134" s="225"/>
    </row>
    <row r="135" spans="2:28">
      <c r="B135" s="224"/>
      <c r="C135" s="236"/>
      <c r="D135" s="236"/>
      <c r="E135" s="237"/>
      <c r="F135" s="236"/>
      <c r="G135" s="236"/>
      <c r="H135" s="237"/>
      <c r="I135" s="236"/>
      <c r="J135" s="236"/>
      <c r="K135" s="237"/>
      <c r="L135" s="283">
        <v>29.5</v>
      </c>
      <c r="M135" s="283">
        <v>74.25</v>
      </c>
      <c r="N135" s="224"/>
      <c r="P135" s="225"/>
      <c r="Q135" s="238">
        <v>59</v>
      </c>
      <c r="R135" s="238">
        <v>0</v>
      </c>
      <c r="S135" s="239"/>
      <c r="T135" s="238"/>
      <c r="U135" s="238"/>
      <c r="V135" s="239"/>
      <c r="W135" s="238"/>
      <c r="X135" s="238"/>
      <c r="Y135" s="239"/>
      <c r="Z135" s="238">
        <v>29.5</v>
      </c>
      <c r="AA135" s="238">
        <v>126.81818181818181</v>
      </c>
      <c r="AB135" s="225"/>
    </row>
    <row r="136" spans="2:28">
      <c r="B136" s="224"/>
      <c r="C136" s="236"/>
      <c r="D136" s="236"/>
      <c r="E136" s="237"/>
      <c r="F136" s="236"/>
      <c r="G136" s="236"/>
      <c r="H136" s="237"/>
      <c r="I136" s="236"/>
      <c r="J136" s="236"/>
      <c r="K136" s="237"/>
      <c r="L136" s="283">
        <v>30</v>
      </c>
      <c r="M136" s="283">
        <v>67.5</v>
      </c>
      <c r="N136" s="224"/>
      <c r="P136" s="225"/>
      <c r="Q136" s="238">
        <v>60</v>
      </c>
      <c r="R136" s="238">
        <v>0</v>
      </c>
      <c r="S136" s="239"/>
      <c r="T136" s="238"/>
      <c r="U136" s="238"/>
      <c r="V136" s="239"/>
      <c r="W136" s="238"/>
      <c r="X136" s="238"/>
      <c r="Y136" s="239"/>
      <c r="Z136" s="238">
        <v>30</v>
      </c>
      <c r="AA136" s="238">
        <v>122.72727272727272</v>
      </c>
      <c r="AB136" s="225"/>
    </row>
    <row r="137" spans="2:28">
      <c r="B137" s="224"/>
      <c r="C137" s="236"/>
      <c r="D137" s="236"/>
      <c r="E137" s="237"/>
      <c r="F137" s="236"/>
      <c r="G137" s="236"/>
      <c r="H137" s="237"/>
      <c r="I137" s="236"/>
      <c r="J137" s="236"/>
      <c r="K137" s="237"/>
      <c r="L137" s="283">
        <v>30.5</v>
      </c>
      <c r="M137" s="283">
        <v>60.75</v>
      </c>
      <c r="N137" s="224"/>
      <c r="P137" s="225"/>
      <c r="Q137" s="238">
        <v>61</v>
      </c>
      <c r="R137" s="238">
        <v>0</v>
      </c>
      <c r="S137" s="239"/>
      <c r="T137" s="238"/>
      <c r="U137" s="238"/>
      <c r="V137" s="239"/>
      <c r="W137" s="238"/>
      <c r="X137" s="238"/>
      <c r="Y137" s="239"/>
      <c r="Z137" s="238">
        <v>30.5</v>
      </c>
      <c r="AA137" s="238">
        <v>118.63636363636364</v>
      </c>
      <c r="AB137" s="225"/>
    </row>
    <row r="138" spans="2:28">
      <c r="B138" s="224"/>
      <c r="C138" s="236"/>
      <c r="D138" s="236"/>
      <c r="E138" s="224"/>
      <c r="F138" s="236"/>
      <c r="G138" s="236"/>
      <c r="H138" s="224"/>
      <c r="I138" s="236"/>
      <c r="J138" s="236"/>
      <c r="K138" s="224"/>
      <c r="L138" s="283">
        <v>31</v>
      </c>
      <c r="M138" s="283">
        <v>54</v>
      </c>
      <c r="N138" s="224"/>
      <c r="P138" s="225"/>
      <c r="Q138" s="238">
        <v>62</v>
      </c>
      <c r="R138" s="238">
        <v>0</v>
      </c>
      <c r="S138" s="225"/>
      <c r="T138" s="238"/>
      <c r="U138" s="238"/>
      <c r="V138" s="228"/>
      <c r="W138" s="238"/>
      <c r="X138" s="238"/>
      <c r="Y138" s="228"/>
      <c r="Z138" s="238">
        <v>31</v>
      </c>
      <c r="AA138" s="238">
        <v>114.54545454545455</v>
      </c>
      <c r="AB138" s="225"/>
    </row>
    <row r="139" spans="2:28">
      <c r="B139" s="224"/>
      <c r="C139" s="236"/>
      <c r="D139" s="236"/>
      <c r="E139" s="224"/>
      <c r="F139" s="236"/>
      <c r="G139" s="236"/>
      <c r="H139" s="224"/>
      <c r="I139" s="236"/>
      <c r="J139" s="236"/>
      <c r="K139" s="224"/>
      <c r="L139" s="283">
        <v>31.5</v>
      </c>
      <c r="M139" s="283">
        <v>47.25</v>
      </c>
      <c r="N139" s="224"/>
      <c r="P139" s="225"/>
      <c r="Q139" s="238">
        <v>63</v>
      </c>
      <c r="R139" s="238">
        <v>0</v>
      </c>
      <c r="S139" s="225"/>
      <c r="T139" s="238"/>
      <c r="U139" s="238"/>
      <c r="V139" s="228"/>
      <c r="W139" s="238"/>
      <c r="X139" s="238"/>
      <c r="Y139" s="228"/>
      <c r="Z139" s="238">
        <v>31.5</v>
      </c>
      <c r="AA139" s="238">
        <v>110.45454545454545</v>
      </c>
      <c r="AB139" s="225"/>
    </row>
    <row r="140" spans="2:28">
      <c r="B140" s="224"/>
      <c r="C140" s="236"/>
      <c r="D140" s="236"/>
      <c r="E140" s="224"/>
      <c r="F140" s="236"/>
      <c r="G140" s="236"/>
      <c r="H140" s="224"/>
      <c r="I140" s="236"/>
      <c r="J140" s="236"/>
      <c r="K140" s="224"/>
      <c r="L140" s="283">
        <v>32</v>
      </c>
      <c r="M140" s="283">
        <v>40.5</v>
      </c>
      <c r="N140" s="224"/>
      <c r="P140" s="225"/>
      <c r="Q140" s="238">
        <v>64</v>
      </c>
      <c r="R140" s="238">
        <v>0</v>
      </c>
      <c r="S140" s="225"/>
      <c r="T140" s="238"/>
      <c r="U140" s="238"/>
      <c r="V140" s="228"/>
      <c r="W140" s="238"/>
      <c r="X140" s="238"/>
      <c r="Y140" s="228"/>
      <c r="Z140" s="238">
        <v>32</v>
      </c>
      <c r="AA140" s="238">
        <v>106.36363636363636</v>
      </c>
      <c r="AB140" s="225"/>
    </row>
    <row r="141" spans="2:28">
      <c r="B141" s="224"/>
      <c r="C141" s="236"/>
      <c r="D141" s="236"/>
      <c r="E141" s="224"/>
      <c r="F141" s="236"/>
      <c r="G141" s="236"/>
      <c r="H141" s="224"/>
      <c r="I141" s="236"/>
      <c r="J141" s="236"/>
      <c r="K141" s="224"/>
      <c r="L141" s="283">
        <v>32.5</v>
      </c>
      <c r="M141" s="283">
        <v>33.75</v>
      </c>
      <c r="N141" s="224"/>
      <c r="P141" s="225"/>
      <c r="Q141" s="238">
        <v>65</v>
      </c>
      <c r="R141" s="238">
        <v>0</v>
      </c>
      <c r="S141" s="225"/>
      <c r="T141" s="238"/>
      <c r="U141" s="238"/>
      <c r="V141" s="228"/>
      <c r="W141" s="238"/>
      <c r="X141" s="238"/>
      <c r="Y141" s="228"/>
      <c r="Z141" s="238">
        <v>32.5</v>
      </c>
      <c r="AA141" s="238">
        <v>102.27272727272727</v>
      </c>
      <c r="AB141" s="225"/>
    </row>
    <row r="142" spans="2:28">
      <c r="B142" s="224"/>
      <c r="C142" s="236"/>
      <c r="D142" s="236"/>
      <c r="E142" s="224"/>
      <c r="F142" s="236"/>
      <c r="G142" s="236"/>
      <c r="H142" s="224"/>
      <c r="I142" s="236"/>
      <c r="J142" s="236"/>
      <c r="K142" s="224"/>
      <c r="L142" s="283">
        <v>33</v>
      </c>
      <c r="M142" s="283">
        <v>27</v>
      </c>
      <c r="N142" s="224"/>
      <c r="P142" s="225"/>
      <c r="Q142" s="238"/>
      <c r="R142" s="238"/>
      <c r="S142" s="225"/>
      <c r="T142" s="238"/>
      <c r="U142" s="238"/>
      <c r="V142" s="228"/>
      <c r="W142" s="238"/>
      <c r="X142" s="238"/>
      <c r="Y142" s="228"/>
      <c r="Z142" s="238">
        <v>33</v>
      </c>
      <c r="AA142" s="238">
        <v>98.181818181818187</v>
      </c>
      <c r="AB142" s="225"/>
    </row>
    <row r="143" spans="2:28">
      <c r="B143" s="224"/>
      <c r="C143" s="236"/>
      <c r="D143" s="236"/>
      <c r="E143" s="224"/>
      <c r="F143" s="236"/>
      <c r="G143" s="236"/>
      <c r="H143" s="224"/>
      <c r="I143" s="236"/>
      <c r="J143" s="236"/>
      <c r="K143" s="224"/>
      <c r="L143" s="283">
        <v>33.5</v>
      </c>
      <c r="M143" s="283">
        <v>20.25</v>
      </c>
      <c r="N143" s="224"/>
      <c r="P143" s="225"/>
      <c r="Q143" s="238"/>
      <c r="R143" s="238"/>
      <c r="S143" s="225"/>
      <c r="T143" s="238"/>
      <c r="U143" s="238"/>
      <c r="V143" s="228"/>
      <c r="W143" s="238"/>
      <c r="X143" s="238"/>
      <c r="Y143" s="228"/>
      <c r="Z143" s="238">
        <v>33.5</v>
      </c>
      <c r="AA143" s="238">
        <v>94.090909090909093</v>
      </c>
      <c r="AB143" s="225"/>
    </row>
    <row r="144" spans="2:28">
      <c r="B144" s="224"/>
      <c r="C144" s="236"/>
      <c r="D144" s="236"/>
      <c r="E144" s="224"/>
      <c r="F144" s="236"/>
      <c r="G144" s="236"/>
      <c r="H144" s="224"/>
      <c r="I144" s="236"/>
      <c r="J144" s="236"/>
      <c r="K144" s="224"/>
      <c r="L144" s="283">
        <v>34</v>
      </c>
      <c r="M144" s="283">
        <v>13.5</v>
      </c>
      <c r="N144" s="224"/>
      <c r="P144" s="225"/>
      <c r="Q144" s="238"/>
      <c r="R144" s="238"/>
      <c r="S144" s="225"/>
      <c r="T144" s="238"/>
      <c r="U144" s="238"/>
      <c r="V144" s="228"/>
      <c r="W144" s="238"/>
      <c r="X144" s="238"/>
      <c r="Y144" s="228"/>
      <c r="Z144" s="238">
        <v>34</v>
      </c>
      <c r="AA144" s="238">
        <v>90</v>
      </c>
      <c r="AB144" s="225"/>
    </row>
    <row r="145" spans="2:28">
      <c r="B145" s="224"/>
      <c r="C145" s="236"/>
      <c r="D145" s="236"/>
      <c r="E145" s="224"/>
      <c r="F145" s="236"/>
      <c r="G145" s="236"/>
      <c r="H145" s="224"/>
      <c r="I145" s="236"/>
      <c r="J145" s="236"/>
      <c r="K145" s="224"/>
      <c r="L145" s="283">
        <v>34.5</v>
      </c>
      <c r="M145" s="283">
        <v>6.75</v>
      </c>
      <c r="N145" s="224"/>
      <c r="P145" s="225"/>
      <c r="Q145" s="238"/>
      <c r="R145" s="238"/>
      <c r="S145" s="225"/>
      <c r="T145" s="238"/>
      <c r="U145" s="238"/>
      <c r="V145" s="228"/>
      <c r="W145" s="238"/>
      <c r="X145" s="238"/>
      <c r="Y145" s="228"/>
      <c r="Z145" s="238">
        <v>34.5</v>
      </c>
      <c r="AA145" s="238">
        <v>85.909090909090907</v>
      </c>
      <c r="AB145" s="225"/>
    </row>
    <row r="146" spans="2:28">
      <c r="B146" s="224"/>
      <c r="C146" s="236"/>
      <c r="D146" s="236"/>
      <c r="E146" s="224"/>
      <c r="F146" s="236"/>
      <c r="G146" s="236"/>
      <c r="H146" s="224"/>
      <c r="I146" s="236"/>
      <c r="J146" s="236"/>
      <c r="K146" s="224"/>
      <c r="L146" s="283">
        <v>35</v>
      </c>
      <c r="M146" s="283">
        <v>0</v>
      </c>
      <c r="N146" s="224"/>
      <c r="P146" s="225"/>
      <c r="Q146" s="238"/>
      <c r="R146" s="238"/>
      <c r="S146" s="225"/>
      <c r="T146" s="238"/>
      <c r="U146" s="238"/>
      <c r="V146" s="228"/>
      <c r="W146" s="238"/>
      <c r="X146" s="238"/>
      <c r="Y146" s="228"/>
      <c r="Z146" s="238">
        <v>35</v>
      </c>
      <c r="AA146" s="238">
        <v>81.818181818181813</v>
      </c>
      <c r="AB146" s="225"/>
    </row>
    <row r="147" spans="2:28">
      <c r="B147" s="224"/>
      <c r="C147" s="236"/>
      <c r="D147" s="236"/>
      <c r="E147" s="224"/>
      <c r="F147" s="236"/>
      <c r="G147" s="236"/>
      <c r="H147" s="224"/>
      <c r="I147" s="236"/>
      <c r="J147" s="236"/>
      <c r="K147" s="224"/>
      <c r="L147" s="283">
        <v>35.5</v>
      </c>
      <c r="M147" s="283">
        <v>0</v>
      </c>
      <c r="N147" s="224"/>
      <c r="P147" s="225"/>
      <c r="Q147" s="238"/>
      <c r="R147" s="238"/>
      <c r="S147" s="225"/>
      <c r="T147" s="238"/>
      <c r="U147" s="238"/>
      <c r="V147" s="225"/>
      <c r="W147" s="238"/>
      <c r="X147" s="238"/>
      <c r="Y147" s="225"/>
      <c r="Z147" s="238">
        <v>35.5</v>
      </c>
      <c r="AA147" s="238">
        <v>77.72727272727272</v>
      </c>
      <c r="AB147" s="225"/>
    </row>
    <row r="148" spans="2:28">
      <c r="B148" s="224"/>
      <c r="C148" s="236"/>
      <c r="D148" s="236"/>
      <c r="E148" s="224"/>
      <c r="F148" s="236"/>
      <c r="G148" s="236"/>
      <c r="H148" s="224"/>
      <c r="I148" s="236"/>
      <c r="J148" s="236"/>
      <c r="K148" s="224"/>
      <c r="L148" s="283">
        <v>36</v>
      </c>
      <c r="M148" s="283">
        <v>0</v>
      </c>
      <c r="N148" s="224"/>
      <c r="P148" s="225"/>
      <c r="Q148" s="238"/>
      <c r="R148" s="238"/>
      <c r="S148" s="225"/>
      <c r="T148" s="238"/>
      <c r="U148" s="238"/>
      <c r="V148" s="225"/>
      <c r="W148" s="238"/>
      <c r="X148" s="238"/>
      <c r="Y148" s="225"/>
      <c r="Z148" s="238">
        <v>36</v>
      </c>
      <c r="AA148" s="238">
        <v>73.63636363636364</v>
      </c>
      <c r="AB148" s="225"/>
    </row>
    <row r="149" spans="2:28">
      <c r="B149" s="224"/>
      <c r="C149" s="236"/>
      <c r="D149" s="236"/>
      <c r="E149" s="224"/>
      <c r="F149" s="236"/>
      <c r="G149" s="236"/>
      <c r="H149" s="224"/>
      <c r="I149" s="236"/>
      <c r="J149" s="236"/>
      <c r="K149" s="224"/>
      <c r="L149" s="283">
        <v>36.5</v>
      </c>
      <c r="M149" s="283">
        <v>0</v>
      </c>
      <c r="N149" s="224"/>
      <c r="P149" s="225"/>
      <c r="Q149" s="238"/>
      <c r="R149" s="238"/>
      <c r="S149" s="225"/>
      <c r="T149" s="238"/>
      <c r="U149" s="238"/>
      <c r="V149" s="225"/>
      <c r="W149" s="238"/>
      <c r="X149" s="238"/>
      <c r="Y149" s="225"/>
      <c r="Z149" s="238">
        <v>36.5</v>
      </c>
      <c r="AA149" s="238">
        <v>69.545454545454547</v>
      </c>
      <c r="AB149" s="225"/>
    </row>
    <row r="150" spans="2:28">
      <c r="B150" s="224"/>
      <c r="C150" s="236"/>
      <c r="D150" s="236"/>
      <c r="E150" s="224"/>
      <c r="F150" s="236"/>
      <c r="G150" s="236"/>
      <c r="H150" s="224"/>
      <c r="I150" s="236"/>
      <c r="J150" s="236"/>
      <c r="K150" s="224"/>
      <c r="L150" s="283">
        <v>37</v>
      </c>
      <c r="M150" s="283">
        <v>0</v>
      </c>
      <c r="N150" s="224"/>
      <c r="P150" s="225"/>
      <c r="Q150" s="238"/>
      <c r="R150" s="238"/>
      <c r="S150" s="225"/>
      <c r="T150" s="238"/>
      <c r="U150" s="238"/>
      <c r="V150" s="225"/>
      <c r="W150" s="238"/>
      <c r="X150" s="238"/>
      <c r="Y150" s="225"/>
      <c r="Z150" s="238">
        <v>37</v>
      </c>
      <c r="AA150" s="238">
        <v>65.454545454545453</v>
      </c>
      <c r="AB150" s="225"/>
    </row>
    <row r="151" spans="2:28">
      <c r="B151" s="224"/>
      <c r="C151" s="236"/>
      <c r="D151" s="236"/>
      <c r="E151" s="224"/>
      <c r="F151" s="236"/>
      <c r="G151" s="236"/>
      <c r="H151" s="224"/>
      <c r="I151" s="236"/>
      <c r="J151" s="236"/>
      <c r="K151" s="224"/>
      <c r="L151" s="283">
        <v>37.5</v>
      </c>
      <c r="M151" s="283">
        <v>0</v>
      </c>
      <c r="N151" s="224"/>
      <c r="P151" s="225"/>
      <c r="Q151" s="238"/>
      <c r="R151" s="238"/>
      <c r="S151" s="225"/>
      <c r="T151" s="238"/>
      <c r="U151" s="238"/>
      <c r="V151" s="225"/>
      <c r="W151" s="238"/>
      <c r="X151" s="238"/>
      <c r="Y151" s="225"/>
      <c r="Z151" s="238">
        <v>37.5</v>
      </c>
      <c r="AA151" s="238">
        <v>61.36363636363636</v>
      </c>
      <c r="AB151" s="225"/>
    </row>
    <row r="152" spans="2:28">
      <c r="B152" s="224"/>
      <c r="C152" s="236"/>
      <c r="D152" s="236"/>
      <c r="E152" s="224"/>
      <c r="F152" s="236"/>
      <c r="G152" s="236"/>
      <c r="H152" s="224"/>
      <c r="I152" s="236"/>
      <c r="J152" s="236"/>
      <c r="K152" s="224"/>
      <c r="L152" s="283">
        <v>38</v>
      </c>
      <c r="M152" s="283">
        <v>0</v>
      </c>
      <c r="N152" s="224"/>
      <c r="P152" s="225"/>
      <c r="Q152" s="238"/>
      <c r="R152" s="238"/>
      <c r="S152" s="225"/>
      <c r="T152" s="238"/>
      <c r="U152" s="238"/>
      <c r="V152" s="225"/>
      <c r="W152" s="238"/>
      <c r="X152" s="238"/>
      <c r="Y152" s="225"/>
      <c r="Z152" s="238">
        <v>38</v>
      </c>
      <c r="AA152" s="238">
        <v>57.272727272727273</v>
      </c>
      <c r="AB152" s="225"/>
    </row>
    <row r="153" spans="2:28">
      <c r="B153" s="224"/>
      <c r="C153" s="236"/>
      <c r="D153" s="236"/>
      <c r="E153" s="224"/>
      <c r="F153" s="236"/>
      <c r="G153" s="236"/>
      <c r="H153" s="224"/>
      <c r="I153" s="236"/>
      <c r="J153" s="236"/>
      <c r="K153" s="224"/>
      <c r="L153" s="283">
        <v>38.5</v>
      </c>
      <c r="M153" s="283">
        <v>0</v>
      </c>
      <c r="N153" s="224"/>
      <c r="P153" s="225"/>
      <c r="Q153" s="238"/>
      <c r="R153" s="238"/>
      <c r="S153" s="225"/>
      <c r="T153" s="238"/>
      <c r="U153" s="238"/>
      <c r="V153" s="225"/>
      <c r="W153" s="238"/>
      <c r="X153" s="238"/>
      <c r="Y153" s="225"/>
      <c r="Z153" s="238">
        <v>38.5</v>
      </c>
      <c r="AA153" s="238">
        <v>53.18181818181818</v>
      </c>
      <c r="AB153" s="225"/>
    </row>
    <row r="154" spans="2:28">
      <c r="B154" s="224"/>
      <c r="C154" s="236"/>
      <c r="D154" s="236"/>
      <c r="E154" s="224"/>
      <c r="F154" s="236"/>
      <c r="G154" s="236"/>
      <c r="H154" s="224"/>
      <c r="I154" s="236"/>
      <c r="J154" s="236"/>
      <c r="K154" s="224"/>
      <c r="L154" s="283">
        <v>39</v>
      </c>
      <c r="M154" s="283">
        <v>0</v>
      </c>
      <c r="N154" s="224"/>
      <c r="P154" s="225"/>
      <c r="Q154" s="238"/>
      <c r="R154" s="238"/>
      <c r="S154" s="225"/>
      <c r="T154" s="238"/>
      <c r="U154" s="238"/>
      <c r="V154" s="225"/>
      <c r="W154" s="238"/>
      <c r="X154" s="238"/>
      <c r="Y154" s="225"/>
      <c r="Z154" s="238">
        <v>39</v>
      </c>
      <c r="AA154" s="238">
        <v>49.090909090909093</v>
      </c>
      <c r="AB154" s="225"/>
    </row>
    <row r="155" spans="2:28">
      <c r="B155" s="224"/>
      <c r="C155" s="236"/>
      <c r="D155" s="236"/>
      <c r="E155" s="224"/>
      <c r="F155" s="236"/>
      <c r="G155" s="236"/>
      <c r="H155" s="224"/>
      <c r="I155" s="236"/>
      <c r="J155" s="236"/>
      <c r="K155" s="224"/>
      <c r="L155" s="283">
        <v>39.5</v>
      </c>
      <c r="M155" s="283">
        <v>0</v>
      </c>
      <c r="N155" s="224"/>
      <c r="P155" s="225"/>
      <c r="Q155" s="238"/>
      <c r="R155" s="238"/>
      <c r="S155" s="225"/>
      <c r="T155" s="238"/>
      <c r="U155" s="238"/>
      <c r="V155" s="225"/>
      <c r="W155" s="238"/>
      <c r="X155" s="238"/>
      <c r="Y155" s="225"/>
      <c r="Z155" s="238">
        <v>39.5</v>
      </c>
      <c r="AA155" s="238">
        <v>45</v>
      </c>
      <c r="AB155" s="225"/>
    </row>
    <row r="156" spans="2:28">
      <c r="B156" s="224"/>
      <c r="C156" s="236"/>
      <c r="D156" s="236"/>
      <c r="E156" s="224"/>
      <c r="F156" s="236"/>
      <c r="G156" s="236"/>
      <c r="H156" s="224"/>
      <c r="I156" s="236"/>
      <c r="J156" s="236"/>
      <c r="K156" s="224"/>
      <c r="L156" s="283">
        <v>40</v>
      </c>
      <c r="M156" s="283">
        <v>0</v>
      </c>
      <c r="N156" s="224"/>
      <c r="P156" s="225"/>
      <c r="Q156" s="238"/>
      <c r="R156" s="238"/>
      <c r="S156" s="225"/>
      <c r="T156" s="238"/>
      <c r="U156" s="238"/>
      <c r="V156" s="225"/>
      <c r="W156" s="238"/>
      <c r="X156" s="238"/>
      <c r="Y156" s="225"/>
      <c r="Z156" s="238">
        <v>40</v>
      </c>
      <c r="AA156" s="238">
        <v>40.909090909090907</v>
      </c>
      <c r="AB156" s="225"/>
    </row>
    <row r="157" spans="2:28">
      <c r="B157" s="224"/>
      <c r="C157" s="236"/>
      <c r="D157" s="236"/>
      <c r="E157" s="224"/>
      <c r="F157" s="236"/>
      <c r="G157" s="236"/>
      <c r="H157" s="224"/>
      <c r="I157" s="236"/>
      <c r="J157" s="236"/>
      <c r="K157" s="224"/>
      <c r="L157" s="283">
        <v>40.5</v>
      </c>
      <c r="M157" s="283">
        <v>0</v>
      </c>
      <c r="N157" s="224"/>
      <c r="P157" s="225"/>
      <c r="Q157" s="238"/>
      <c r="R157" s="238"/>
      <c r="S157" s="225"/>
      <c r="T157" s="238"/>
      <c r="U157" s="238"/>
      <c r="V157" s="225"/>
      <c r="W157" s="238"/>
      <c r="X157" s="238"/>
      <c r="Y157" s="225"/>
      <c r="Z157" s="238">
        <v>40.5</v>
      </c>
      <c r="AA157" s="238">
        <v>36.81818181818182</v>
      </c>
      <c r="AB157" s="225"/>
    </row>
    <row r="158" spans="2:28">
      <c r="B158" s="224"/>
      <c r="C158" s="236"/>
      <c r="D158" s="236"/>
      <c r="E158" s="224"/>
      <c r="F158" s="236"/>
      <c r="G158" s="236"/>
      <c r="H158" s="224"/>
      <c r="I158" s="236"/>
      <c r="J158" s="236"/>
      <c r="K158" s="224"/>
      <c r="L158" s="283">
        <v>41</v>
      </c>
      <c r="M158" s="283">
        <v>0</v>
      </c>
      <c r="N158" s="224"/>
      <c r="P158" s="225"/>
      <c r="Q158" s="238"/>
      <c r="R158" s="238"/>
      <c r="S158" s="225"/>
      <c r="T158" s="238"/>
      <c r="U158" s="238"/>
      <c r="V158" s="225"/>
      <c r="W158" s="238"/>
      <c r="X158" s="238"/>
      <c r="Y158" s="225"/>
      <c r="Z158" s="238">
        <v>41</v>
      </c>
      <c r="AA158" s="238">
        <v>32.727272727272727</v>
      </c>
      <c r="AB158" s="225"/>
    </row>
    <row r="159" spans="2:28">
      <c r="B159" s="224"/>
      <c r="C159" s="236"/>
      <c r="D159" s="236"/>
      <c r="E159" s="224"/>
      <c r="F159" s="236"/>
      <c r="G159" s="236"/>
      <c r="H159" s="224"/>
      <c r="I159" s="236"/>
      <c r="J159" s="236"/>
      <c r="K159" s="224"/>
      <c r="L159" s="283">
        <v>41.5</v>
      </c>
      <c r="M159" s="283">
        <v>0</v>
      </c>
      <c r="N159" s="224"/>
      <c r="P159" s="225"/>
      <c r="Q159" s="238"/>
      <c r="R159" s="238"/>
      <c r="S159" s="225"/>
      <c r="T159" s="238"/>
      <c r="U159" s="238"/>
      <c r="V159" s="225"/>
      <c r="W159" s="238"/>
      <c r="X159" s="238"/>
      <c r="Y159" s="225"/>
      <c r="Z159" s="238">
        <v>41.5</v>
      </c>
      <c r="AA159" s="238">
        <v>28.636363636363637</v>
      </c>
      <c r="AB159" s="225"/>
    </row>
    <row r="160" spans="2:28">
      <c r="B160" s="224"/>
      <c r="C160" s="236"/>
      <c r="D160" s="236"/>
      <c r="E160" s="224"/>
      <c r="F160" s="236"/>
      <c r="G160" s="236"/>
      <c r="H160" s="224"/>
      <c r="I160" s="236"/>
      <c r="J160" s="236"/>
      <c r="K160" s="224"/>
      <c r="L160" s="283">
        <v>42</v>
      </c>
      <c r="M160" s="283">
        <v>0</v>
      </c>
      <c r="N160" s="224"/>
      <c r="P160" s="225"/>
      <c r="Q160" s="238"/>
      <c r="R160" s="238"/>
      <c r="S160" s="225"/>
      <c r="T160" s="238"/>
      <c r="U160" s="238"/>
      <c r="V160" s="225"/>
      <c r="W160" s="238"/>
      <c r="X160" s="238"/>
      <c r="Y160" s="225"/>
      <c r="Z160" s="238">
        <v>42</v>
      </c>
      <c r="AA160" s="238">
        <v>24.545454545454547</v>
      </c>
      <c r="AB160" s="225"/>
    </row>
    <row r="161" spans="2:28">
      <c r="B161" s="224"/>
      <c r="C161" s="236"/>
      <c r="D161" s="236"/>
      <c r="E161" s="224"/>
      <c r="F161" s="236"/>
      <c r="G161" s="236"/>
      <c r="H161" s="224"/>
      <c r="I161" s="236"/>
      <c r="J161" s="236"/>
      <c r="K161" s="224"/>
      <c r="L161" s="283">
        <v>42.5</v>
      </c>
      <c r="M161" s="283">
        <v>0</v>
      </c>
      <c r="N161" s="224"/>
      <c r="P161" s="225"/>
      <c r="Q161" s="238"/>
      <c r="R161" s="238"/>
      <c r="S161" s="225"/>
      <c r="T161" s="238"/>
      <c r="U161" s="238"/>
      <c r="V161" s="225"/>
      <c r="W161" s="238"/>
      <c r="X161" s="238"/>
      <c r="Y161" s="225"/>
      <c r="Z161" s="238">
        <v>42.5</v>
      </c>
      <c r="AA161" s="238">
        <v>20.454545454545453</v>
      </c>
      <c r="AB161" s="225"/>
    </row>
    <row r="162" spans="2:28">
      <c r="B162" s="224"/>
      <c r="C162" s="236"/>
      <c r="D162" s="236"/>
      <c r="E162" s="224"/>
      <c r="F162" s="236"/>
      <c r="G162" s="236"/>
      <c r="H162" s="224"/>
      <c r="I162" s="236"/>
      <c r="J162" s="236"/>
      <c r="K162" s="224"/>
      <c r="L162" s="283">
        <v>43</v>
      </c>
      <c r="M162" s="283">
        <v>0</v>
      </c>
      <c r="N162" s="224"/>
      <c r="P162" s="225"/>
      <c r="Q162" s="238"/>
      <c r="R162" s="238"/>
      <c r="S162" s="225"/>
      <c r="T162" s="238"/>
      <c r="U162" s="238"/>
      <c r="V162" s="225"/>
      <c r="W162" s="238"/>
      <c r="X162" s="238"/>
      <c r="Y162" s="225"/>
      <c r="Z162" s="238">
        <v>43</v>
      </c>
      <c r="AA162" s="238">
        <v>16.363636363636363</v>
      </c>
      <c r="AB162" s="225"/>
    </row>
    <row r="163" spans="2:28">
      <c r="B163" s="224"/>
      <c r="C163" s="236"/>
      <c r="D163" s="236"/>
      <c r="E163" s="224"/>
      <c r="F163" s="236"/>
      <c r="G163" s="236"/>
      <c r="H163" s="224"/>
      <c r="I163" s="236"/>
      <c r="J163" s="236"/>
      <c r="K163" s="224"/>
      <c r="L163" s="283">
        <v>43.5</v>
      </c>
      <c r="M163" s="283">
        <v>0</v>
      </c>
      <c r="N163" s="224"/>
      <c r="P163" s="225"/>
      <c r="Q163" s="238"/>
      <c r="R163" s="238"/>
      <c r="S163" s="225"/>
      <c r="T163" s="238"/>
      <c r="U163" s="238"/>
      <c r="V163" s="225"/>
      <c r="W163" s="238"/>
      <c r="X163" s="238"/>
      <c r="Y163" s="225"/>
      <c r="Z163" s="238">
        <v>43.5</v>
      </c>
      <c r="AA163" s="238">
        <v>12.272727272727273</v>
      </c>
      <c r="AB163" s="225"/>
    </row>
    <row r="164" spans="2:28">
      <c r="B164" s="224"/>
      <c r="C164" s="236"/>
      <c r="D164" s="236"/>
      <c r="E164" s="224"/>
      <c r="F164" s="236"/>
      <c r="G164" s="236"/>
      <c r="H164" s="224"/>
      <c r="I164" s="236"/>
      <c r="J164" s="236"/>
      <c r="K164" s="224"/>
      <c r="L164" s="283">
        <v>44</v>
      </c>
      <c r="M164" s="283">
        <v>0</v>
      </c>
      <c r="N164" s="224"/>
      <c r="P164" s="225"/>
      <c r="Q164" s="238"/>
      <c r="R164" s="238"/>
      <c r="S164" s="225"/>
      <c r="T164" s="238"/>
      <c r="U164" s="238"/>
      <c r="V164" s="225"/>
      <c r="W164" s="238"/>
      <c r="X164" s="238"/>
      <c r="Y164" s="225"/>
      <c r="Z164" s="238">
        <v>44</v>
      </c>
      <c r="AA164" s="238">
        <v>8.1818181818181817</v>
      </c>
      <c r="AB164" s="225"/>
    </row>
    <row r="165" spans="2:28">
      <c r="B165" s="224"/>
      <c r="C165" s="236"/>
      <c r="D165" s="236"/>
      <c r="E165" s="224"/>
      <c r="F165" s="236"/>
      <c r="G165" s="236"/>
      <c r="H165" s="224"/>
      <c r="I165" s="236"/>
      <c r="J165" s="236"/>
      <c r="K165" s="224"/>
      <c r="L165" s="283">
        <v>44.5</v>
      </c>
      <c r="M165" s="283">
        <v>0</v>
      </c>
      <c r="N165" s="224"/>
      <c r="P165" s="225"/>
      <c r="Q165" s="238"/>
      <c r="R165" s="238"/>
      <c r="S165" s="225"/>
      <c r="T165" s="238"/>
      <c r="U165" s="238"/>
      <c r="V165" s="225"/>
      <c r="W165" s="238"/>
      <c r="X165" s="238"/>
      <c r="Y165" s="225"/>
      <c r="Z165" s="238">
        <v>44.5</v>
      </c>
      <c r="AA165" s="238">
        <v>4.0909090909090908</v>
      </c>
      <c r="AB165" s="225"/>
    </row>
    <row r="166" spans="2:28">
      <c r="B166" s="224"/>
      <c r="C166" s="236"/>
      <c r="D166" s="236"/>
      <c r="E166" s="224"/>
      <c r="F166" s="236"/>
      <c r="G166" s="236"/>
      <c r="H166" s="224"/>
      <c r="I166" s="236"/>
      <c r="J166" s="236"/>
      <c r="K166" s="224"/>
      <c r="L166" s="283">
        <v>45</v>
      </c>
      <c r="M166" s="283">
        <v>0</v>
      </c>
      <c r="N166" s="224"/>
      <c r="P166" s="225"/>
      <c r="Q166" s="238"/>
      <c r="R166" s="238"/>
      <c r="S166" s="225"/>
      <c r="T166" s="238"/>
      <c r="U166" s="238"/>
      <c r="V166" s="225"/>
      <c r="W166" s="238"/>
      <c r="X166" s="238"/>
      <c r="Y166" s="225"/>
      <c r="Z166" s="238">
        <v>45</v>
      </c>
      <c r="AA166" s="238">
        <v>0</v>
      </c>
      <c r="AB166" s="225"/>
    </row>
    <row r="167" spans="2:28">
      <c r="B167" s="224"/>
      <c r="C167" s="236"/>
      <c r="D167" s="236"/>
      <c r="E167" s="224"/>
      <c r="F167" s="236"/>
      <c r="G167" s="236"/>
      <c r="H167" s="224"/>
      <c r="I167" s="236"/>
      <c r="J167" s="236"/>
      <c r="K167" s="224"/>
      <c r="L167" s="283">
        <v>45.5</v>
      </c>
      <c r="M167" s="283">
        <v>0</v>
      </c>
      <c r="N167" s="224"/>
      <c r="P167" s="225"/>
      <c r="Q167" s="238"/>
      <c r="R167" s="238"/>
      <c r="S167" s="225"/>
      <c r="T167" s="238"/>
      <c r="U167" s="238"/>
      <c r="V167" s="225"/>
      <c r="W167" s="238"/>
      <c r="X167" s="238"/>
      <c r="Y167" s="225"/>
      <c r="Z167" s="238">
        <v>45.5</v>
      </c>
      <c r="AA167" s="238">
        <v>0</v>
      </c>
      <c r="AB167" s="225"/>
    </row>
    <row r="168" spans="2:28">
      <c r="B168" s="224"/>
      <c r="C168" s="236"/>
      <c r="D168" s="236"/>
      <c r="E168" s="224"/>
      <c r="F168" s="236"/>
      <c r="G168" s="236"/>
      <c r="H168" s="224"/>
      <c r="I168" s="236"/>
      <c r="J168" s="236"/>
      <c r="K168" s="224"/>
      <c r="L168" s="283">
        <v>46</v>
      </c>
      <c r="M168" s="283">
        <v>0</v>
      </c>
      <c r="N168" s="224"/>
      <c r="P168" s="225"/>
      <c r="Q168" s="238"/>
      <c r="R168" s="238"/>
      <c r="S168" s="225"/>
      <c r="T168" s="238"/>
      <c r="U168" s="238"/>
      <c r="V168" s="225"/>
      <c r="W168" s="238"/>
      <c r="X168" s="238"/>
      <c r="Y168" s="225"/>
      <c r="Z168" s="238">
        <v>46</v>
      </c>
      <c r="AA168" s="238">
        <v>0</v>
      </c>
      <c r="AB168" s="225"/>
    </row>
    <row r="169" spans="2:28">
      <c r="B169" s="224"/>
      <c r="C169" s="236"/>
      <c r="D169" s="236"/>
      <c r="E169" s="224"/>
      <c r="F169" s="236"/>
      <c r="G169" s="236"/>
      <c r="H169" s="224"/>
      <c r="I169" s="236"/>
      <c r="J169" s="236"/>
      <c r="K169" s="224"/>
      <c r="L169" s="283">
        <v>46.5</v>
      </c>
      <c r="M169" s="283">
        <v>0</v>
      </c>
      <c r="N169" s="224"/>
      <c r="P169" s="225"/>
      <c r="Q169" s="238"/>
      <c r="R169" s="238"/>
      <c r="S169" s="225"/>
      <c r="T169" s="238"/>
      <c r="U169" s="238"/>
      <c r="V169" s="225"/>
      <c r="W169" s="238"/>
      <c r="X169" s="238"/>
      <c r="Y169" s="225"/>
      <c r="Z169" s="238">
        <v>46.5</v>
      </c>
      <c r="AA169" s="238">
        <v>0</v>
      </c>
      <c r="AB169" s="225"/>
    </row>
    <row r="170" spans="2:28">
      <c r="B170" s="224"/>
      <c r="C170" s="236"/>
      <c r="D170" s="236"/>
      <c r="E170" s="224"/>
      <c r="F170" s="236"/>
      <c r="G170" s="236"/>
      <c r="H170" s="224"/>
      <c r="I170" s="236"/>
      <c r="J170" s="236"/>
      <c r="K170" s="224"/>
      <c r="L170" s="283">
        <v>47</v>
      </c>
      <c r="M170" s="283">
        <v>0</v>
      </c>
      <c r="N170" s="224"/>
      <c r="P170" s="225"/>
      <c r="Q170" s="238"/>
      <c r="R170" s="238"/>
      <c r="S170" s="225"/>
      <c r="T170" s="238"/>
      <c r="U170" s="238"/>
      <c r="V170" s="225"/>
      <c r="W170" s="238"/>
      <c r="X170" s="238"/>
      <c r="Y170" s="225"/>
      <c r="Z170" s="238">
        <v>47</v>
      </c>
      <c r="AA170" s="238">
        <v>0</v>
      </c>
      <c r="AB170" s="225"/>
    </row>
    <row r="171" spans="2:28">
      <c r="B171" s="224"/>
      <c r="C171" s="236"/>
      <c r="D171" s="236"/>
      <c r="E171" s="224"/>
      <c r="F171" s="236"/>
      <c r="G171" s="236"/>
      <c r="H171" s="224"/>
      <c r="I171" s="236"/>
      <c r="J171" s="236"/>
      <c r="K171" s="224"/>
      <c r="L171" s="283">
        <v>47.5</v>
      </c>
      <c r="M171" s="283">
        <v>0</v>
      </c>
      <c r="N171" s="224"/>
      <c r="P171" s="225"/>
      <c r="Q171" s="238"/>
      <c r="R171" s="238"/>
      <c r="S171" s="225"/>
      <c r="T171" s="238"/>
      <c r="U171" s="238"/>
      <c r="V171" s="225"/>
      <c r="W171" s="238"/>
      <c r="X171" s="238"/>
      <c r="Y171" s="225"/>
      <c r="Z171" s="238">
        <v>47.5</v>
      </c>
      <c r="AA171" s="238">
        <v>0</v>
      </c>
      <c r="AB171" s="225"/>
    </row>
    <row r="172" spans="2:28">
      <c r="B172" s="224"/>
      <c r="C172" s="236"/>
      <c r="D172" s="236"/>
      <c r="E172" s="224"/>
      <c r="F172" s="236"/>
      <c r="G172" s="236"/>
      <c r="H172" s="224"/>
      <c r="I172" s="236"/>
      <c r="J172" s="236"/>
      <c r="K172" s="224"/>
      <c r="L172" s="283">
        <v>48</v>
      </c>
      <c r="M172" s="283">
        <v>0</v>
      </c>
      <c r="N172" s="224"/>
      <c r="P172" s="225"/>
      <c r="Q172" s="238"/>
      <c r="R172" s="238"/>
      <c r="S172" s="225"/>
      <c r="T172" s="238"/>
      <c r="U172" s="238"/>
      <c r="V172" s="225"/>
      <c r="W172" s="238"/>
      <c r="X172" s="238"/>
      <c r="Y172" s="225"/>
      <c r="Z172" s="238">
        <v>48</v>
      </c>
      <c r="AA172" s="238">
        <v>0</v>
      </c>
      <c r="AB172" s="225"/>
    </row>
    <row r="173" spans="2:28">
      <c r="B173" s="224"/>
      <c r="C173" s="236"/>
      <c r="D173" s="236"/>
      <c r="E173" s="224"/>
      <c r="F173" s="236"/>
      <c r="G173" s="236"/>
      <c r="H173" s="224"/>
      <c r="I173" s="236"/>
      <c r="J173" s="236"/>
      <c r="K173" s="224"/>
      <c r="L173" s="283">
        <v>48.5</v>
      </c>
      <c r="M173" s="283">
        <v>0</v>
      </c>
      <c r="N173" s="224"/>
      <c r="P173" s="225"/>
      <c r="Q173" s="238"/>
      <c r="R173" s="238"/>
      <c r="S173" s="225"/>
      <c r="T173" s="238"/>
      <c r="U173" s="238"/>
      <c r="V173" s="225"/>
      <c r="W173" s="238"/>
      <c r="X173" s="238"/>
      <c r="Y173" s="225"/>
      <c r="Z173" s="238">
        <v>48.5</v>
      </c>
      <c r="AA173" s="238">
        <v>0</v>
      </c>
      <c r="AB173" s="225"/>
    </row>
    <row r="174" spans="2:28">
      <c r="B174" s="224"/>
      <c r="C174" s="236"/>
      <c r="D174" s="236"/>
      <c r="E174" s="224"/>
      <c r="F174" s="236"/>
      <c r="G174" s="236"/>
      <c r="H174" s="224"/>
      <c r="I174" s="236"/>
      <c r="J174" s="236"/>
      <c r="K174" s="224"/>
      <c r="L174" s="283">
        <v>49</v>
      </c>
      <c r="M174" s="283">
        <v>0</v>
      </c>
      <c r="N174" s="224"/>
      <c r="P174" s="225"/>
      <c r="Q174" s="238"/>
      <c r="R174" s="238"/>
      <c r="S174" s="225"/>
      <c r="T174" s="238"/>
      <c r="U174" s="238"/>
      <c r="V174" s="225"/>
      <c r="W174" s="238"/>
      <c r="X174" s="238"/>
      <c r="Y174" s="225"/>
      <c r="Z174" s="238">
        <v>49</v>
      </c>
      <c r="AA174" s="238">
        <v>0</v>
      </c>
      <c r="AB174" s="225"/>
    </row>
    <row r="175" spans="2:28">
      <c r="B175" s="224"/>
      <c r="C175" s="236"/>
      <c r="D175" s="236"/>
      <c r="E175" s="224"/>
      <c r="F175" s="236"/>
      <c r="G175" s="236"/>
      <c r="H175" s="224"/>
      <c r="I175" s="236"/>
      <c r="J175" s="236"/>
      <c r="K175" s="224"/>
      <c r="L175" s="283">
        <v>49.5</v>
      </c>
      <c r="M175" s="283">
        <v>0</v>
      </c>
      <c r="N175" s="224"/>
      <c r="P175" s="225"/>
      <c r="Q175" s="238"/>
      <c r="R175" s="238"/>
      <c r="S175" s="225"/>
      <c r="T175" s="238"/>
      <c r="U175" s="238"/>
      <c r="V175" s="225"/>
      <c r="W175" s="238"/>
      <c r="X175" s="238"/>
      <c r="Y175" s="225"/>
      <c r="Z175" s="238">
        <v>49.5</v>
      </c>
      <c r="AA175" s="238">
        <v>0</v>
      </c>
      <c r="AB175" s="225"/>
    </row>
    <row r="176" spans="2:28">
      <c r="B176" s="224"/>
      <c r="C176" s="236"/>
      <c r="D176" s="236"/>
      <c r="E176" s="224"/>
      <c r="F176" s="236"/>
      <c r="G176" s="236"/>
      <c r="H176" s="224"/>
      <c r="I176" s="236"/>
      <c r="J176" s="236"/>
      <c r="K176" s="224"/>
      <c r="L176" s="283">
        <v>50</v>
      </c>
      <c r="M176" s="283">
        <v>0</v>
      </c>
      <c r="N176" s="224"/>
      <c r="P176" s="225"/>
      <c r="Q176" s="238"/>
      <c r="R176" s="238"/>
      <c r="S176" s="225"/>
      <c r="T176" s="238"/>
      <c r="U176" s="238"/>
      <c r="V176" s="225"/>
      <c r="W176" s="238"/>
      <c r="X176" s="238"/>
      <c r="Y176" s="225"/>
      <c r="Z176" s="238">
        <v>50</v>
      </c>
      <c r="AA176" s="238">
        <v>0</v>
      </c>
      <c r="AB176" s="225"/>
    </row>
    <row r="177" spans="2:28">
      <c r="B177" s="224"/>
      <c r="C177" s="224"/>
      <c r="D177" s="224"/>
      <c r="E177" s="224"/>
      <c r="F177" s="224"/>
      <c r="G177" s="224"/>
      <c r="H177" s="224"/>
      <c r="I177" s="224"/>
      <c r="J177" s="224"/>
      <c r="K177" s="224"/>
      <c r="L177" s="224"/>
      <c r="M177" s="224"/>
      <c r="N177" s="224"/>
      <c r="P177" s="225"/>
      <c r="Q177" s="225"/>
      <c r="R177" s="225"/>
      <c r="S177" s="225"/>
      <c r="T177" s="225"/>
      <c r="U177" s="225"/>
      <c r="V177" s="225"/>
      <c r="W177" s="225"/>
      <c r="X177" s="225"/>
      <c r="Y177" s="225"/>
      <c r="Z177" s="225"/>
      <c r="AA177" s="225"/>
      <c r="AB177" s="225"/>
    </row>
    <row r="178" spans="2:28">
      <c r="B178" s="224"/>
      <c r="C178" s="224"/>
      <c r="D178" s="224"/>
      <c r="E178" s="224"/>
      <c r="F178" s="224"/>
      <c r="G178" s="224"/>
      <c r="H178" s="224"/>
      <c r="I178" s="224"/>
      <c r="J178" s="224"/>
      <c r="K178" s="224"/>
      <c r="L178" s="224"/>
      <c r="M178" s="224"/>
      <c r="N178" s="224"/>
      <c r="P178" s="225"/>
      <c r="Q178" s="225"/>
      <c r="R178" s="225"/>
      <c r="S178" s="225"/>
      <c r="T178" s="225"/>
      <c r="U178" s="225"/>
      <c r="V178" s="225"/>
      <c r="W178" s="225"/>
      <c r="X178" s="225"/>
      <c r="Y178" s="225"/>
      <c r="Z178" s="225"/>
      <c r="AA178" s="225"/>
      <c r="AB178" s="225"/>
    </row>
    <row r="179" spans="2:28">
      <c r="B179" s="224"/>
      <c r="C179" s="224"/>
      <c r="D179" s="224"/>
      <c r="E179" s="224"/>
      <c r="F179" s="224"/>
      <c r="G179" s="224"/>
      <c r="H179" s="224"/>
      <c r="I179" s="224"/>
      <c r="J179" s="224"/>
      <c r="K179" s="224"/>
      <c r="L179" s="224"/>
      <c r="M179" s="224"/>
      <c r="N179" s="224"/>
      <c r="P179" s="225"/>
      <c r="Q179" s="225"/>
      <c r="R179" s="225"/>
      <c r="S179" s="225"/>
      <c r="T179" s="225"/>
      <c r="U179" s="225"/>
      <c r="V179" s="225"/>
      <c r="W179" s="225"/>
      <c r="X179" s="225"/>
      <c r="Y179" s="225"/>
      <c r="Z179" s="225"/>
      <c r="AA179" s="225"/>
      <c r="AB179" s="225"/>
    </row>
  </sheetData>
  <mergeCells count="10">
    <mergeCell ref="B2:N3"/>
    <mergeCell ref="P2:AB3"/>
    <mergeCell ref="C74:D74"/>
    <mergeCell ref="F74:G74"/>
    <mergeCell ref="I74:J74"/>
    <mergeCell ref="L74:M74"/>
    <mergeCell ref="Q74:R74"/>
    <mergeCell ref="T74:U74"/>
    <mergeCell ref="W74:X74"/>
    <mergeCell ref="Z74:AA74"/>
  </mergeCells>
  <pageMargins left="0.7" right="0.7" top="0.78740157499999996" bottom="0.78740157499999996" header="0.3" footer="0.3"/>
  <pageSetup paperSize="9" scale="28"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1">
    <pageSetUpPr fitToPage="1"/>
  </sheetPr>
  <dimension ref="B1:Y366"/>
  <sheetViews>
    <sheetView topLeftCell="A70" zoomScale="80" zoomScaleNormal="80" workbookViewId="0">
      <selection activeCell="B82" sqref="B82"/>
    </sheetView>
  </sheetViews>
  <sheetFormatPr baseColWidth="10" defaultColWidth="11.36328125" defaultRowHeight="14"/>
  <cols>
    <col min="1" max="1" width="11.36328125" style="66"/>
    <col min="2" max="8" width="11.6328125" style="66" customWidth="1"/>
    <col min="9" max="9" width="11.36328125" style="66"/>
    <col min="10" max="10" width="11.6328125" style="66" customWidth="1"/>
    <col min="11" max="13" width="11.36328125" style="66"/>
    <col min="14" max="14" width="7.81640625" style="66" customWidth="1"/>
    <col min="15" max="15" width="16.26953125" style="66" customWidth="1"/>
    <col min="16" max="16" width="15.26953125" style="66" customWidth="1"/>
    <col min="17" max="24" width="13.7265625" style="66" customWidth="1"/>
    <col min="25" max="25" width="11.81640625" style="66" customWidth="1"/>
    <col min="26" max="16384" width="11.36328125" style="66"/>
  </cols>
  <sheetData>
    <row r="1" spans="2:25" ht="14.5">
      <c r="B1" s="67" t="s">
        <v>6</v>
      </c>
      <c r="C1" s="88"/>
      <c r="D1" s="68"/>
    </row>
    <row r="2" spans="2:25" ht="15" thickBot="1">
      <c r="B2" s="69" t="s">
        <v>289</v>
      </c>
      <c r="C2" s="87"/>
      <c r="D2" s="68"/>
    </row>
    <row r="4" spans="2:25" ht="14.25" customHeight="1">
      <c r="B4" s="1526" t="s">
        <v>6</v>
      </c>
      <c r="C4" s="1527"/>
      <c r="D4" s="1527"/>
      <c r="E4" s="1527"/>
      <c r="F4" s="1527"/>
      <c r="G4" s="1527"/>
      <c r="H4" s="1527"/>
      <c r="I4" s="1527"/>
      <c r="J4" s="1527"/>
      <c r="K4" s="1527"/>
      <c r="L4" s="1527"/>
      <c r="M4" s="1528"/>
      <c r="O4" s="1518" t="s">
        <v>289</v>
      </c>
      <c r="P4" s="1519"/>
      <c r="Q4" s="1519"/>
      <c r="R4" s="1519"/>
      <c r="S4" s="1519"/>
      <c r="T4" s="1519"/>
      <c r="U4" s="1519"/>
      <c r="V4" s="1519"/>
      <c r="W4" s="1519"/>
      <c r="X4" s="1519"/>
      <c r="Y4" s="1520"/>
    </row>
    <row r="5" spans="2:25" ht="15" customHeight="1" thickBot="1">
      <c r="B5" s="1529"/>
      <c r="C5" s="1530"/>
      <c r="D5" s="1530"/>
      <c r="E5" s="1530"/>
      <c r="F5" s="1530"/>
      <c r="G5" s="1530"/>
      <c r="H5" s="1530"/>
      <c r="I5" s="1530"/>
      <c r="J5" s="1530"/>
      <c r="K5" s="1530"/>
      <c r="L5" s="1530"/>
      <c r="M5" s="1531"/>
      <c r="O5" s="1521"/>
      <c r="P5" s="1522"/>
      <c r="Q5" s="1522"/>
      <c r="R5" s="1522"/>
      <c r="S5" s="1522"/>
      <c r="T5" s="1522"/>
      <c r="U5" s="1522"/>
      <c r="V5" s="1522"/>
      <c r="W5" s="1522"/>
      <c r="X5" s="1522"/>
      <c r="Y5" s="1523"/>
    </row>
    <row r="6" spans="2:25">
      <c r="B6" s="89"/>
      <c r="C6" s="89"/>
      <c r="D6" s="89"/>
      <c r="E6" s="89"/>
      <c r="F6" s="89"/>
      <c r="G6" s="89"/>
      <c r="H6" s="89"/>
      <c r="I6" s="89"/>
      <c r="J6" s="89"/>
      <c r="K6" s="89"/>
      <c r="L6" s="89"/>
      <c r="M6" s="89"/>
      <c r="O6" s="79"/>
      <c r="P6" s="79"/>
      <c r="Q6" s="79"/>
      <c r="R6" s="79"/>
      <c r="S6" s="79"/>
      <c r="T6" s="79"/>
      <c r="U6" s="79"/>
      <c r="V6" s="79"/>
      <c r="W6" s="79"/>
      <c r="X6" s="79"/>
      <c r="Y6" s="79"/>
    </row>
    <row r="7" spans="2:25">
      <c r="B7" s="89"/>
      <c r="C7" s="89"/>
      <c r="D7" s="89"/>
      <c r="E7" s="89"/>
      <c r="F7" s="89"/>
      <c r="G7" s="89"/>
      <c r="H7" s="89"/>
      <c r="I7" s="89"/>
      <c r="J7" s="89"/>
      <c r="K7" s="89"/>
      <c r="L7" s="89"/>
      <c r="M7" s="89"/>
      <c r="O7" s="79"/>
      <c r="P7" s="79"/>
      <c r="Q7" s="79"/>
      <c r="R7" s="79"/>
      <c r="S7" s="79"/>
      <c r="T7" s="79"/>
      <c r="U7" s="79"/>
      <c r="V7" s="79"/>
      <c r="W7" s="79"/>
      <c r="X7" s="79"/>
      <c r="Y7" s="79"/>
    </row>
    <row r="8" spans="2:25">
      <c r="B8" s="89"/>
      <c r="C8" s="89"/>
      <c r="D8" s="89"/>
      <c r="E8" s="89"/>
      <c r="F8" s="89"/>
      <c r="G8" s="89"/>
      <c r="H8" s="89"/>
      <c r="I8" s="89"/>
      <c r="J8" s="89"/>
      <c r="K8" s="89"/>
      <c r="L8" s="89"/>
      <c r="M8" s="89"/>
      <c r="O8" s="271"/>
      <c r="P8" s="79"/>
      <c r="Q8" s="79"/>
      <c r="R8" s="79"/>
      <c r="S8" s="79"/>
      <c r="T8" s="79"/>
      <c r="U8" s="79"/>
      <c r="V8" s="79"/>
      <c r="W8" s="79"/>
      <c r="X8" s="79"/>
      <c r="Y8" s="79"/>
    </row>
    <row r="9" spans="2:25">
      <c r="B9" s="89"/>
      <c r="C9" s="89"/>
      <c r="D9" s="89"/>
      <c r="E9" s="89"/>
      <c r="F9" s="89"/>
      <c r="G9" s="89"/>
      <c r="H9" s="89"/>
      <c r="I9" s="89"/>
      <c r="J9" s="89"/>
      <c r="K9" s="89"/>
      <c r="L9" s="89"/>
      <c r="M9" s="89"/>
      <c r="O9" s="79"/>
      <c r="P9" s="79"/>
      <c r="Q9" s="79"/>
      <c r="R9" s="79"/>
      <c r="S9" s="79"/>
      <c r="T9" s="79"/>
      <c r="U9" s="79"/>
      <c r="V9" s="79"/>
      <c r="W9" s="79"/>
      <c r="X9" s="79"/>
      <c r="Y9" s="79"/>
    </row>
    <row r="10" spans="2:25">
      <c r="B10" s="89"/>
      <c r="C10" s="89"/>
      <c r="D10" s="89"/>
      <c r="E10" s="89"/>
      <c r="F10" s="89"/>
      <c r="G10" s="89"/>
      <c r="H10" s="89"/>
      <c r="I10" s="89"/>
      <c r="J10" s="89"/>
      <c r="K10" s="89"/>
      <c r="L10" s="89"/>
      <c r="M10" s="89"/>
      <c r="O10" s="79"/>
      <c r="P10" s="79"/>
      <c r="Q10" s="79"/>
      <c r="R10" s="79"/>
      <c r="S10" s="79"/>
      <c r="T10" s="79"/>
      <c r="U10" s="79"/>
      <c r="V10" s="79"/>
      <c r="W10" s="79"/>
      <c r="X10" s="79"/>
      <c r="Y10" s="79"/>
    </row>
    <row r="11" spans="2:25">
      <c r="B11" s="89"/>
      <c r="C11" s="89"/>
      <c r="D11" s="89"/>
      <c r="E11" s="89"/>
      <c r="F11" s="89"/>
      <c r="G11" s="89"/>
      <c r="H11" s="89"/>
      <c r="I11" s="89"/>
      <c r="J11" s="89"/>
      <c r="K11" s="89"/>
      <c r="L11" s="89"/>
      <c r="M11" s="89"/>
      <c r="O11" s="79"/>
      <c r="P11" s="79"/>
      <c r="Q11" s="79"/>
      <c r="R11" s="79"/>
      <c r="S11" s="79"/>
      <c r="T11" s="79"/>
      <c r="U11" s="79"/>
      <c r="V11" s="79"/>
      <c r="W11" s="79"/>
      <c r="X11" s="79"/>
      <c r="Y11" s="79"/>
    </row>
    <row r="12" spans="2:25">
      <c r="B12" s="89"/>
      <c r="C12" s="89"/>
      <c r="D12" s="89"/>
      <c r="E12" s="89"/>
      <c r="F12" s="89"/>
      <c r="G12" s="89"/>
      <c r="H12" s="89"/>
      <c r="I12" s="89"/>
      <c r="J12" s="89"/>
      <c r="K12" s="89"/>
      <c r="L12" s="89"/>
      <c r="M12" s="89"/>
      <c r="O12" s="79"/>
      <c r="P12" s="79"/>
      <c r="Q12" s="79"/>
      <c r="R12" s="79"/>
      <c r="S12" s="79"/>
      <c r="T12" s="79"/>
      <c r="U12" s="79"/>
      <c r="V12" s="79"/>
      <c r="W12" s="79"/>
      <c r="X12" s="79"/>
      <c r="Y12" s="79"/>
    </row>
    <row r="13" spans="2:25">
      <c r="B13" s="89"/>
      <c r="C13" s="89"/>
      <c r="D13" s="89"/>
      <c r="E13" s="89"/>
      <c r="F13" s="89"/>
      <c r="G13" s="89"/>
      <c r="H13" s="89"/>
      <c r="I13" s="89"/>
      <c r="J13" s="89"/>
      <c r="K13" s="89"/>
      <c r="L13" s="89"/>
      <c r="M13" s="89"/>
      <c r="O13" s="79"/>
      <c r="P13" s="79"/>
      <c r="Q13" s="79"/>
      <c r="R13" s="79"/>
      <c r="S13" s="79"/>
      <c r="T13" s="79"/>
      <c r="U13" s="79"/>
      <c r="V13" s="79"/>
      <c r="W13" s="79"/>
      <c r="X13" s="79"/>
      <c r="Y13" s="79"/>
    </row>
    <row r="14" spans="2:25">
      <c r="B14" s="89"/>
      <c r="C14" s="89"/>
      <c r="D14" s="89"/>
      <c r="E14" s="89"/>
      <c r="F14" s="89"/>
      <c r="G14" s="89"/>
      <c r="H14" s="89"/>
      <c r="I14" s="89"/>
      <c r="J14" s="89"/>
      <c r="K14" s="89"/>
      <c r="L14" s="89"/>
      <c r="M14" s="89"/>
      <c r="O14" s="79"/>
      <c r="P14" s="79"/>
      <c r="Q14" s="79"/>
      <c r="R14" s="79"/>
      <c r="S14" s="79"/>
      <c r="T14" s="79"/>
      <c r="U14" s="79"/>
      <c r="V14" s="79"/>
      <c r="W14" s="79"/>
      <c r="X14" s="79"/>
      <c r="Y14" s="79"/>
    </row>
    <row r="15" spans="2:25">
      <c r="B15" s="89"/>
      <c r="C15" s="89"/>
      <c r="D15" s="89"/>
      <c r="E15" s="89"/>
      <c r="F15" s="89"/>
      <c r="G15" s="89"/>
      <c r="H15" s="89"/>
      <c r="I15" s="89"/>
      <c r="J15" s="89"/>
      <c r="K15" s="89"/>
      <c r="L15" s="89"/>
      <c r="M15" s="89"/>
      <c r="O15" s="79"/>
      <c r="P15" s="79"/>
      <c r="Q15" s="79"/>
      <c r="R15" s="79"/>
      <c r="S15" s="79"/>
      <c r="T15" s="79"/>
      <c r="U15" s="79"/>
      <c r="V15" s="79"/>
      <c r="W15" s="79"/>
      <c r="X15" s="79"/>
      <c r="Y15" s="79"/>
    </row>
    <row r="16" spans="2:25">
      <c r="B16" s="89"/>
      <c r="C16" s="89"/>
      <c r="D16" s="89"/>
      <c r="E16" s="89"/>
      <c r="F16" s="89"/>
      <c r="G16" s="89"/>
      <c r="H16" s="89"/>
      <c r="I16" s="89"/>
      <c r="J16" s="89"/>
      <c r="K16" s="89"/>
      <c r="L16" s="89"/>
      <c r="M16" s="89"/>
      <c r="O16" s="79"/>
      <c r="P16" s="79"/>
      <c r="Q16" s="79"/>
      <c r="R16" s="79"/>
      <c r="S16" s="79"/>
      <c r="T16" s="79"/>
      <c r="U16" s="79"/>
      <c r="V16" s="79"/>
      <c r="W16" s="79"/>
      <c r="X16" s="79"/>
      <c r="Y16" s="79"/>
    </row>
    <row r="17" spans="2:25">
      <c r="B17" s="89"/>
      <c r="C17" s="89"/>
      <c r="D17" s="89"/>
      <c r="E17" s="89"/>
      <c r="F17" s="89"/>
      <c r="G17" s="89"/>
      <c r="H17" s="89"/>
      <c r="I17" s="89"/>
      <c r="J17" s="89"/>
      <c r="K17" s="89"/>
      <c r="L17" s="89"/>
      <c r="M17" s="89"/>
      <c r="O17" s="79"/>
      <c r="P17" s="79"/>
      <c r="Q17" s="79"/>
      <c r="R17" s="79"/>
      <c r="S17" s="79"/>
      <c r="T17" s="79"/>
      <c r="U17" s="79"/>
      <c r="V17" s="79"/>
      <c r="W17" s="79"/>
      <c r="X17" s="79"/>
      <c r="Y17" s="79"/>
    </row>
    <row r="18" spans="2:25">
      <c r="B18" s="89"/>
      <c r="C18" s="89"/>
      <c r="D18" s="89"/>
      <c r="E18" s="89"/>
      <c r="F18" s="89"/>
      <c r="G18" s="89"/>
      <c r="H18" s="89"/>
      <c r="I18" s="89"/>
      <c r="J18" s="89"/>
      <c r="K18" s="89"/>
      <c r="L18" s="89"/>
      <c r="M18" s="89"/>
      <c r="O18" s="79"/>
      <c r="P18" s="79"/>
      <c r="Q18" s="79"/>
      <c r="R18" s="79"/>
      <c r="S18" s="79"/>
      <c r="T18" s="79"/>
      <c r="U18" s="79"/>
      <c r="V18" s="79"/>
      <c r="W18" s="79"/>
      <c r="X18" s="79"/>
      <c r="Y18" s="79"/>
    </row>
    <row r="19" spans="2:25">
      <c r="B19" s="89"/>
      <c r="C19" s="89"/>
      <c r="D19" s="89"/>
      <c r="E19" s="89"/>
      <c r="F19" s="89"/>
      <c r="G19" s="89"/>
      <c r="H19" s="89"/>
      <c r="I19" s="89"/>
      <c r="J19" s="89"/>
      <c r="K19" s="89"/>
      <c r="L19" s="89"/>
      <c r="M19" s="89"/>
      <c r="O19" s="79"/>
      <c r="P19" s="79"/>
      <c r="Q19" s="79"/>
      <c r="R19" s="79"/>
      <c r="S19" s="79"/>
      <c r="T19" s="79"/>
      <c r="U19" s="79"/>
      <c r="V19" s="79"/>
      <c r="W19" s="79"/>
      <c r="X19" s="79"/>
      <c r="Y19" s="79"/>
    </row>
    <row r="20" spans="2:25">
      <c r="B20" s="89"/>
      <c r="C20" s="89"/>
      <c r="D20" s="89"/>
      <c r="E20" s="89"/>
      <c r="F20" s="89"/>
      <c r="G20" s="89"/>
      <c r="H20" s="89"/>
      <c r="I20" s="89"/>
      <c r="J20" s="89"/>
      <c r="K20" s="89"/>
      <c r="L20" s="89"/>
      <c r="M20" s="89"/>
      <c r="O20" s="79"/>
      <c r="P20" s="79"/>
      <c r="Q20" s="79"/>
      <c r="R20" s="79"/>
      <c r="S20" s="79"/>
      <c r="T20" s="79"/>
      <c r="U20" s="79"/>
      <c r="V20" s="79"/>
      <c r="W20" s="79"/>
      <c r="X20" s="79"/>
      <c r="Y20" s="79"/>
    </row>
    <row r="21" spans="2:25">
      <c r="B21" s="89"/>
      <c r="C21" s="89"/>
      <c r="D21" s="89"/>
      <c r="E21" s="89"/>
      <c r="F21" s="89"/>
      <c r="G21" s="89"/>
      <c r="H21" s="89"/>
      <c r="I21" s="89"/>
      <c r="J21" s="89"/>
      <c r="K21" s="89"/>
      <c r="L21" s="89"/>
      <c r="M21" s="89"/>
      <c r="O21" s="79"/>
      <c r="P21" s="79"/>
      <c r="Q21" s="79"/>
      <c r="R21" s="79"/>
      <c r="S21" s="79"/>
      <c r="T21" s="79"/>
      <c r="U21" s="79"/>
      <c r="V21" s="79"/>
      <c r="W21" s="79"/>
      <c r="X21" s="79"/>
      <c r="Y21" s="79"/>
    </row>
    <row r="22" spans="2:25">
      <c r="B22" s="89"/>
      <c r="C22" s="89"/>
      <c r="D22" s="89"/>
      <c r="E22" s="89"/>
      <c r="F22" s="89"/>
      <c r="G22" s="89"/>
      <c r="H22" s="89"/>
      <c r="I22" s="89"/>
      <c r="J22" s="89"/>
      <c r="K22" s="89"/>
      <c r="L22" s="89"/>
      <c r="M22" s="89"/>
      <c r="O22" s="79"/>
      <c r="P22" s="79"/>
      <c r="Q22" s="79"/>
      <c r="R22" s="79"/>
      <c r="S22" s="79"/>
      <c r="T22" s="79"/>
      <c r="U22" s="79"/>
      <c r="V22" s="79"/>
      <c r="W22" s="79"/>
      <c r="X22" s="79"/>
      <c r="Y22" s="79"/>
    </row>
    <row r="23" spans="2:25">
      <c r="B23" s="89"/>
      <c r="C23" s="89"/>
      <c r="D23" s="89"/>
      <c r="E23" s="89"/>
      <c r="F23" s="89"/>
      <c r="G23" s="89"/>
      <c r="H23" s="89"/>
      <c r="I23" s="89"/>
      <c r="J23" s="89"/>
      <c r="K23" s="89"/>
      <c r="L23" s="89"/>
      <c r="M23" s="89"/>
      <c r="O23" s="79"/>
      <c r="P23" s="79"/>
      <c r="Q23" s="79"/>
      <c r="R23" s="79"/>
      <c r="S23" s="79"/>
      <c r="T23" s="79"/>
      <c r="U23" s="79"/>
      <c r="V23" s="79"/>
      <c r="W23" s="79"/>
      <c r="X23" s="79"/>
      <c r="Y23" s="79"/>
    </row>
    <row r="24" spans="2:25">
      <c r="B24" s="89"/>
      <c r="C24" s="89"/>
      <c r="D24" s="89"/>
      <c r="E24" s="89"/>
      <c r="F24" s="89"/>
      <c r="G24" s="89"/>
      <c r="H24" s="89"/>
      <c r="I24" s="89"/>
      <c r="J24" s="89"/>
      <c r="K24" s="89"/>
      <c r="L24" s="89"/>
      <c r="M24" s="89"/>
      <c r="O24" s="79"/>
      <c r="P24" s="79"/>
      <c r="Q24" s="79"/>
      <c r="R24" s="79"/>
      <c r="S24" s="79"/>
      <c r="T24" s="79"/>
      <c r="U24" s="79"/>
      <c r="V24" s="79"/>
      <c r="W24" s="79"/>
      <c r="X24" s="79"/>
      <c r="Y24" s="79"/>
    </row>
    <row r="25" spans="2:25">
      <c r="B25" s="89"/>
      <c r="C25" s="89"/>
      <c r="D25" s="89"/>
      <c r="E25" s="89"/>
      <c r="F25" s="89"/>
      <c r="G25" s="89"/>
      <c r="H25" s="89"/>
      <c r="I25" s="89"/>
      <c r="J25" s="89"/>
      <c r="K25" s="89"/>
      <c r="L25" s="89"/>
      <c r="M25" s="89"/>
      <c r="O25" s="79"/>
      <c r="P25" s="79"/>
      <c r="Q25" s="79"/>
      <c r="R25" s="79"/>
      <c r="S25" s="79"/>
      <c r="T25" s="79"/>
      <c r="U25" s="79"/>
      <c r="V25" s="79"/>
      <c r="W25" s="79"/>
      <c r="X25" s="79"/>
      <c r="Y25" s="79"/>
    </row>
    <row r="26" spans="2:25">
      <c r="B26" s="89"/>
      <c r="C26" s="89"/>
      <c r="D26" s="89"/>
      <c r="E26" s="89"/>
      <c r="F26" s="89"/>
      <c r="G26" s="89"/>
      <c r="H26" s="89"/>
      <c r="I26" s="89"/>
      <c r="J26" s="89"/>
      <c r="K26" s="89"/>
      <c r="L26" s="89"/>
      <c r="M26" s="89"/>
      <c r="O26" s="79"/>
      <c r="P26" s="79"/>
      <c r="Q26" s="79"/>
      <c r="R26" s="79"/>
      <c r="S26" s="79"/>
      <c r="T26" s="79"/>
      <c r="U26" s="79"/>
      <c r="V26" s="79"/>
      <c r="W26" s="79"/>
      <c r="X26" s="79"/>
      <c r="Y26" s="79"/>
    </row>
    <row r="27" spans="2:25">
      <c r="B27" s="89"/>
      <c r="C27" s="89"/>
      <c r="D27" s="89"/>
      <c r="E27" s="89"/>
      <c r="F27" s="89"/>
      <c r="G27" s="89"/>
      <c r="H27" s="89"/>
      <c r="I27" s="89"/>
      <c r="J27" s="89"/>
      <c r="K27" s="89"/>
      <c r="L27" s="89"/>
      <c r="M27" s="89"/>
      <c r="O27" s="79"/>
      <c r="P27" s="79"/>
      <c r="Q27" s="79"/>
      <c r="R27" s="79"/>
      <c r="S27" s="79"/>
      <c r="T27" s="79"/>
      <c r="U27" s="79"/>
      <c r="V27" s="79"/>
      <c r="W27" s="79"/>
      <c r="X27" s="79"/>
      <c r="Y27" s="79"/>
    </row>
    <row r="28" spans="2:25">
      <c r="B28" s="89"/>
      <c r="C28" s="89"/>
      <c r="D28" s="89"/>
      <c r="E28" s="89"/>
      <c r="F28" s="89"/>
      <c r="G28" s="89"/>
      <c r="H28" s="89"/>
      <c r="I28" s="89"/>
      <c r="J28" s="89"/>
      <c r="K28" s="89"/>
      <c r="L28" s="89"/>
      <c r="M28" s="89"/>
      <c r="O28" s="79"/>
      <c r="P28" s="79"/>
      <c r="Q28" s="79"/>
      <c r="R28" s="79"/>
      <c r="S28" s="79"/>
      <c r="T28" s="79"/>
      <c r="U28" s="79"/>
      <c r="V28" s="79"/>
      <c r="W28" s="79"/>
      <c r="X28" s="79"/>
      <c r="Y28" s="79"/>
    </row>
    <row r="29" spans="2:25">
      <c r="B29" s="89"/>
      <c r="C29" s="89"/>
      <c r="D29" s="89"/>
      <c r="E29" s="89"/>
      <c r="F29" s="89"/>
      <c r="G29" s="89"/>
      <c r="H29" s="89"/>
      <c r="I29" s="89"/>
      <c r="J29" s="89"/>
      <c r="K29" s="89"/>
      <c r="L29" s="89"/>
      <c r="M29" s="89"/>
      <c r="O29" s="79"/>
      <c r="P29" s="79"/>
      <c r="Q29" s="79"/>
      <c r="R29" s="79"/>
      <c r="S29" s="79"/>
      <c r="T29" s="79"/>
      <c r="U29" s="79"/>
      <c r="V29" s="79"/>
      <c r="W29" s="79"/>
      <c r="X29" s="79"/>
      <c r="Y29" s="79"/>
    </row>
    <row r="30" spans="2:25">
      <c r="B30" s="89"/>
      <c r="C30" s="89"/>
      <c r="D30" s="89"/>
      <c r="E30" s="89"/>
      <c r="F30" s="89"/>
      <c r="G30" s="89"/>
      <c r="H30" s="89"/>
      <c r="I30" s="89"/>
      <c r="J30" s="89"/>
      <c r="K30" s="89"/>
      <c r="L30" s="89"/>
      <c r="M30" s="89"/>
      <c r="O30" s="79"/>
      <c r="P30" s="79"/>
      <c r="Q30" s="79"/>
      <c r="R30" s="79"/>
      <c r="S30" s="79"/>
      <c r="T30" s="79"/>
      <c r="U30" s="79"/>
      <c r="V30" s="79"/>
      <c r="W30" s="79"/>
      <c r="X30" s="79"/>
      <c r="Y30" s="79"/>
    </row>
    <row r="31" spans="2:25">
      <c r="B31" s="89"/>
      <c r="C31" s="89"/>
      <c r="D31" s="89"/>
      <c r="E31" s="89"/>
      <c r="F31" s="89"/>
      <c r="G31" s="89"/>
      <c r="H31" s="89"/>
      <c r="I31" s="89"/>
      <c r="J31" s="89"/>
      <c r="K31" s="89"/>
      <c r="L31" s="89"/>
      <c r="M31" s="89"/>
      <c r="O31" s="79"/>
      <c r="P31" s="79"/>
      <c r="Q31" s="79"/>
      <c r="R31" s="79"/>
      <c r="S31" s="79"/>
      <c r="T31" s="79"/>
      <c r="U31" s="79"/>
      <c r="V31" s="79"/>
      <c r="W31" s="79"/>
      <c r="X31" s="79"/>
      <c r="Y31" s="79"/>
    </row>
    <row r="32" spans="2:25">
      <c r="B32" s="89"/>
      <c r="C32" s="89"/>
      <c r="D32" s="89"/>
      <c r="E32" s="89"/>
      <c r="F32" s="89"/>
      <c r="G32" s="89"/>
      <c r="H32" s="89"/>
      <c r="I32" s="89"/>
      <c r="J32" s="89"/>
      <c r="K32" s="89"/>
      <c r="L32" s="89"/>
      <c r="M32" s="89"/>
      <c r="O32" s="79"/>
      <c r="P32" s="79"/>
      <c r="Q32" s="79"/>
      <c r="R32" s="79"/>
      <c r="S32" s="79"/>
      <c r="T32" s="79"/>
      <c r="U32" s="79"/>
      <c r="V32" s="79"/>
      <c r="W32" s="79"/>
      <c r="X32" s="79"/>
      <c r="Y32" s="79"/>
    </row>
    <row r="33" spans="2:25">
      <c r="B33" s="89"/>
      <c r="C33" s="89"/>
      <c r="D33" s="89"/>
      <c r="E33" s="89"/>
      <c r="F33" s="89"/>
      <c r="G33" s="89"/>
      <c r="H33" s="89"/>
      <c r="I33" s="89"/>
      <c r="J33" s="89"/>
      <c r="K33" s="89"/>
      <c r="L33" s="89"/>
      <c r="M33" s="89"/>
      <c r="O33" s="79"/>
      <c r="P33" s="79"/>
      <c r="Q33" s="79"/>
      <c r="R33" s="79"/>
      <c r="S33" s="79"/>
      <c r="T33" s="79"/>
      <c r="U33" s="79"/>
      <c r="V33" s="79"/>
      <c r="W33" s="79"/>
      <c r="X33" s="79"/>
      <c r="Y33" s="79"/>
    </row>
    <row r="34" spans="2:25">
      <c r="B34" s="89"/>
      <c r="C34" s="89"/>
      <c r="D34" s="89"/>
      <c r="E34" s="89"/>
      <c r="F34" s="89"/>
      <c r="G34" s="89"/>
      <c r="H34" s="89"/>
      <c r="I34" s="89"/>
      <c r="J34" s="89"/>
      <c r="K34" s="89"/>
      <c r="L34" s="89"/>
      <c r="M34" s="89"/>
      <c r="O34" s="79"/>
      <c r="P34" s="79"/>
      <c r="Q34" s="79"/>
      <c r="R34" s="79"/>
      <c r="S34" s="79"/>
      <c r="T34" s="79"/>
      <c r="U34" s="79"/>
      <c r="V34" s="79"/>
      <c r="W34" s="79"/>
      <c r="X34" s="79"/>
      <c r="Y34" s="79"/>
    </row>
    <row r="35" spans="2:25">
      <c r="B35" s="89"/>
      <c r="C35" s="89"/>
      <c r="D35" s="89"/>
      <c r="E35" s="89"/>
      <c r="F35" s="89"/>
      <c r="G35" s="89"/>
      <c r="H35" s="89"/>
      <c r="I35" s="89"/>
      <c r="J35" s="89"/>
      <c r="K35" s="89"/>
      <c r="L35" s="89"/>
      <c r="M35" s="89"/>
      <c r="O35" s="79"/>
      <c r="P35" s="79"/>
      <c r="Q35" s="79"/>
      <c r="R35" s="79"/>
      <c r="S35" s="79"/>
      <c r="T35" s="79"/>
      <c r="U35" s="79"/>
      <c r="V35" s="79"/>
      <c r="W35" s="79"/>
      <c r="X35" s="79"/>
      <c r="Y35" s="79"/>
    </row>
    <row r="36" spans="2:25">
      <c r="B36" s="89"/>
      <c r="C36" s="89"/>
      <c r="D36" s="89"/>
      <c r="E36" s="89"/>
      <c r="F36" s="89"/>
      <c r="G36" s="89"/>
      <c r="H36" s="89"/>
      <c r="I36" s="89"/>
      <c r="J36" s="89"/>
      <c r="K36" s="89"/>
      <c r="L36" s="89"/>
      <c r="M36" s="89"/>
      <c r="O36" s="79"/>
      <c r="P36" s="79"/>
      <c r="Q36" s="79"/>
      <c r="R36" s="79"/>
      <c r="S36" s="79"/>
      <c r="T36" s="79"/>
      <c r="U36" s="79"/>
      <c r="V36" s="79"/>
      <c r="W36" s="79"/>
      <c r="X36" s="79"/>
      <c r="Y36" s="79"/>
    </row>
    <row r="37" spans="2:25">
      <c r="B37" s="89"/>
      <c r="C37" s="89"/>
      <c r="D37" s="89"/>
      <c r="E37" s="89"/>
      <c r="F37" s="89"/>
      <c r="G37" s="89"/>
      <c r="H37" s="89"/>
      <c r="I37" s="89"/>
      <c r="J37" s="89"/>
      <c r="K37" s="89"/>
      <c r="L37" s="89"/>
      <c r="M37" s="89"/>
      <c r="O37" s="79"/>
      <c r="P37" s="79"/>
      <c r="Q37" s="79"/>
      <c r="R37" s="79"/>
      <c r="S37" s="79"/>
      <c r="T37" s="79"/>
      <c r="U37" s="79"/>
      <c r="V37" s="79"/>
      <c r="W37" s="79"/>
      <c r="X37" s="79"/>
      <c r="Y37" s="79"/>
    </row>
    <row r="38" spans="2:25">
      <c r="B38" s="89"/>
      <c r="C38" s="89"/>
      <c r="D38" s="89"/>
      <c r="E38" s="89"/>
      <c r="F38" s="89"/>
      <c r="G38" s="89"/>
      <c r="H38" s="89"/>
      <c r="I38" s="89"/>
      <c r="J38" s="89"/>
      <c r="K38" s="89"/>
      <c r="L38" s="89"/>
      <c r="M38" s="89"/>
      <c r="O38" s="79"/>
      <c r="P38" s="79"/>
      <c r="Q38" s="79"/>
      <c r="R38" s="79"/>
      <c r="S38" s="79"/>
      <c r="T38" s="79"/>
      <c r="U38" s="79"/>
      <c r="V38" s="79"/>
      <c r="W38" s="79"/>
      <c r="X38" s="79"/>
      <c r="Y38" s="79"/>
    </row>
    <row r="39" spans="2:25">
      <c r="B39" s="89"/>
      <c r="C39" s="89"/>
      <c r="D39" s="89"/>
      <c r="E39" s="89"/>
      <c r="F39" s="89"/>
      <c r="G39" s="89"/>
      <c r="H39" s="89"/>
      <c r="I39" s="89"/>
      <c r="J39" s="89"/>
      <c r="K39" s="89"/>
      <c r="L39" s="89"/>
      <c r="M39" s="89"/>
      <c r="O39" s="79"/>
      <c r="P39" s="79"/>
      <c r="Q39" s="79"/>
      <c r="R39" s="79"/>
      <c r="S39" s="79"/>
      <c r="T39" s="79"/>
      <c r="U39" s="79"/>
      <c r="V39" s="79"/>
      <c r="W39" s="79"/>
      <c r="X39" s="79"/>
      <c r="Y39" s="79"/>
    </row>
    <row r="40" spans="2:25">
      <c r="B40" s="89"/>
      <c r="C40" s="89"/>
      <c r="D40" s="89"/>
      <c r="E40" s="89"/>
      <c r="F40" s="89"/>
      <c r="G40" s="89"/>
      <c r="H40" s="89"/>
      <c r="I40" s="89"/>
      <c r="J40" s="89"/>
      <c r="K40" s="89"/>
      <c r="L40" s="89"/>
      <c r="M40" s="89"/>
      <c r="O40" s="79"/>
      <c r="P40" s="79"/>
      <c r="Q40" s="79"/>
      <c r="R40" s="79"/>
      <c r="S40" s="79"/>
      <c r="T40" s="79"/>
      <c r="U40" s="79"/>
      <c r="V40" s="79"/>
      <c r="W40" s="79"/>
      <c r="X40" s="79"/>
      <c r="Y40" s="79"/>
    </row>
    <row r="41" spans="2:25">
      <c r="B41" s="89"/>
      <c r="C41" s="89"/>
      <c r="D41" s="89"/>
      <c r="E41" s="89"/>
      <c r="F41" s="89"/>
      <c r="G41" s="89"/>
      <c r="H41" s="89"/>
      <c r="I41" s="89"/>
      <c r="J41" s="89"/>
      <c r="K41" s="89"/>
      <c r="L41" s="89"/>
      <c r="M41" s="89"/>
      <c r="O41" s="79"/>
      <c r="P41" s="79"/>
      <c r="Q41" s="79"/>
      <c r="R41" s="79"/>
      <c r="S41" s="79"/>
      <c r="T41" s="79"/>
      <c r="U41" s="79"/>
      <c r="V41" s="79"/>
      <c r="W41" s="79"/>
      <c r="X41" s="79"/>
      <c r="Y41" s="79"/>
    </row>
    <row r="42" spans="2:25">
      <c r="B42" s="89"/>
      <c r="C42" s="89"/>
      <c r="D42" s="89"/>
      <c r="E42" s="89"/>
      <c r="F42" s="89"/>
      <c r="G42" s="89"/>
      <c r="H42" s="89"/>
      <c r="I42" s="89"/>
      <c r="J42" s="89"/>
      <c r="K42" s="89"/>
      <c r="L42" s="89"/>
      <c r="M42" s="89"/>
      <c r="O42" s="79"/>
      <c r="P42" s="79"/>
      <c r="Q42" s="79"/>
      <c r="R42" s="79"/>
      <c r="S42" s="79"/>
      <c r="T42" s="79"/>
      <c r="U42" s="79"/>
      <c r="V42" s="79"/>
      <c r="W42" s="79"/>
      <c r="X42" s="79"/>
      <c r="Y42" s="79"/>
    </row>
    <row r="43" spans="2:25">
      <c r="B43" s="89"/>
      <c r="C43" s="89"/>
      <c r="D43" s="89"/>
      <c r="E43" s="89"/>
      <c r="F43" s="89"/>
      <c r="G43" s="89"/>
      <c r="H43" s="89"/>
      <c r="I43" s="89"/>
      <c r="J43" s="89"/>
      <c r="K43" s="89"/>
      <c r="L43" s="89"/>
      <c r="M43" s="89"/>
      <c r="O43" s="79"/>
      <c r="P43" s="79"/>
      <c r="Q43" s="79"/>
      <c r="R43" s="79"/>
      <c r="S43" s="79"/>
      <c r="T43" s="79"/>
      <c r="U43" s="79"/>
      <c r="V43" s="79"/>
      <c r="W43" s="79"/>
      <c r="X43" s="79"/>
      <c r="Y43" s="79"/>
    </row>
    <row r="44" spans="2:25">
      <c r="B44" s="89"/>
      <c r="C44" s="89"/>
      <c r="D44" s="89"/>
      <c r="E44" s="89"/>
      <c r="F44" s="89"/>
      <c r="G44" s="89"/>
      <c r="H44" s="89"/>
      <c r="I44" s="89"/>
      <c r="J44" s="89"/>
      <c r="K44" s="89"/>
      <c r="L44" s="89"/>
      <c r="M44" s="89"/>
      <c r="O44" s="79"/>
      <c r="P44" s="79"/>
      <c r="Q44" s="79"/>
      <c r="R44" s="79"/>
      <c r="S44" s="79"/>
      <c r="T44" s="79"/>
      <c r="U44" s="79"/>
      <c r="V44" s="79"/>
      <c r="W44" s="79"/>
      <c r="X44" s="79"/>
      <c r="Y44" s="79"/>
    </row>
    <row r="45" spans="2:25">
      <c r="B45" s="89"/>
      <c r="C45" s="89"/>
      <c r="D45" s="89"/>
      <c r="E45" s="89"/>
      <c r="F45" s="89"/>
      <c r="G45" s="89"/>
      <c r="H45" s="89"/>
      <c r="I45" s="89"/>
      <c r="J45" s="89"/>
      <c r="K45" s="89"/>
      <c r="L45" s="89"/>
      <c r="M45" s="89"/>
      <c r="O45" s="79"/>
      <c r="P45" s="79"/>
      <c r="Q45" s="79"/>
      <c r="R45" s="79"/>
      <c r="S45" s="79"/>
      <c r="T45" s="79"/>
      <c r="U45" s="79"/>
      <c r="V45" s="79"/>
      <c r="W45" s="79"/>
      <c r="X45" s="79"/>
      <c r="Y45" s="79"/>
    </row>
    <row r="46" spans="2:25">
      <c r="B46" s="89"/>
      <c r="C46" s="89"/>
      <c r="D46" s="89"/>
      <c r="E46" s="89"/>
      <c r="F46" s="89"/>
      <c r="G46" s="89"/>
      <c r="H46" s="89"/>
      <c r="I46" s="89"/>
      <c r="J46" s="89"/>
      <c r="K46" s="89"/>
      <c r="L46" s="89"/>
      <c r="M46" s="89"/>
      <c r="O46" s="79"/>
      <c r="P46" s="79"/>
      <c r="Q46" s="79"/>
      <c r="R46" s="79"/>
      <c r="S46" s="79"/>
      <c r="T46" s="79"/>
      <c r="U46" s="79"/>
      <c r="V46" s="79"/>
      <c r="W46" s="79"/>
      <c r="X46" s="79"/>
      <c r="Y46" s="79"/>
    </row>
    <row r="47" spans="2:25">
      <c r="B47" s="89"/>
      <c r="C47" s="89"/>
      <c r="D47" s="89"/>
      <c r="E47" s="89"/>
      <c r="F47" s="89"/>
      <c r="G47" s="89"/>
      <c r="H47" s="89"/>
      <c r="I47" s="89"/>
      <c r="J47" s="89"/>
      <c r="K47" s="89"/>
      <c r="L47" s="89"/>
      <c r="M47" s="89"/>
      <c r="O47" s="79"/>
      <c r="P47" s="79"/>
      <c r="Q47" s="79"/>
      <c r="R47" s="79"/>
      <c r="S47" s="79"/>
      <c r="T47" s="79"/>
      <c r="U47" s="79"/>
      <c r="V47" s="79"/>
      <c r="W47" s="79"/>
      <c r="X47" s="79"/>
      <c r="Y47" s="79"/>
    </row>
    <row r="48" spans="2:25">
      <c r="B48" s="89"/>
      <c r="C48" s="89"/>
      <c r="D48" s="89"/>
      <c r="E48" s="89"/>
      <c r="F48" s="89"/>
      <c r="G48" s="89"/>
      <c r="H48" s="89"/>
      <c r="I48" s="89"/>
      <c r="J48" s="89"/>
      <c r="K48" s="89"/>
      <c r="L48" s="89"/>
      <c r="M48" s="89"/>
      <c r="O48" s="79"/>
      <c r="P48" s="79"/>
      <c r="Q48" s="79"/>
      <c r="R48" s="79"/>
      <c r="S48" s="79"/>
      <c r="T48" s="79"/>
      <c r="U48" s="79"/>
      <c r="V48" s="79"/>
      <c r="W48" s="79"/>
      <c r="X48" s="79"/>
      <c r="Y48" s="79"/>
    </row>
    <row r="49" spans="2:25">
      <c r="B49" s="89"/>
      <c r="C49" s="89"/>
      <c r="D49" s="89"/>
      <c r="E49" s="89"/>
      <c r="F49" s="89"/>
      <c r="G49" s="89"/>
      <c r="H49" s="89"/>
      <c r="I49" s="89"/>
      <c r="J49" s="89"/>
      <c r="K49" s="89"/>
      <c r="L49" s="89"/>
      <c r="M49" s="89"/>
      <c r="O49" s="79"/>
      <c r="P49" s="79"/>
      <c r="Q49" s="79"/>
      <c r="R49" s="79"/>
      <c r="S49" s="79"/>
      <c r="T49" s="79"/>
      <c r="U49" s="79"/>
      <c r="V49" s="79"/>
      <c r="W49" s="79"/>
      <c r="X49" s="79"/>
      <c r="Y49" s="79"/>
    </row>
    <row r="50" spans="2:25">
      <c r="B50" s="89"/>
      <c r="C50" s="89"/>
      <c r="D50" s="89"/>
      <c r="E50" s="89"/>
      <c r="F50" s="89"/>
      <c r="G50" s="89"/>
      <c r="H50" s="89"/>
      <c r="I50" s="89"/>
      <c r="J50" s="89"/>
      <c r="K50" s="89"/>
      <c r="L50" s="89"/>
      <c r="M50" s="89"/>
      <c r="O50" s="79"/>
      <c r="P50" s="79"/>
      <c r="Q50" s="79"/>
      <c r="R50" s="79"/>
      <c r="S50" s="79"/>
      <c r="T50" s="79"/>
      <c r="U50" s="79"/>
      <c r="V50" s="79"/>
      <c r="W50" s="79"/>
      <c r="X50" s="79"/>
      <c r="Y50" s="79"/>
    </row>
    <row r="51" spans="2:25">
      <c r="B51" s="89"/>
      <c r="C51" s="89"/>
      <c r="D51" s="89"/>
      <c r="E51" s="89"/>
      <c r="F51" s="89"/>
      <c r="G51" s="89"/>
      <c r="H51" s="89"/>
      <c r="I51" s="89"/>
      <c r="J51" s="89"/>
      <c r="K51" s="89"/>
      <c r="L51" s="89"/>
      <c r="M51" s="89"/>
      <c r="O51" s="79"/>
      <c r="P51" s="79"/>
      <c r="Q51" s="79"/>
      <c r="R51" s="79"/>
      <c r="S51" s="79"/>
      <c r="T51" s="79"/>
      <c r="U51" s="79"/>
      <c r="V51" s="79"/>
      <c r="W51" s="79"/>
      <c r="X51" s="79"/>
      <c r="Y51" s="79"/>
    </row>
    <row r="52" spans="2:25">
      <c r="B52" s="89"/>
      <c r="C52" s="89"/>
      <c r="D52" s="89"/>
      <c r="E52" s="89"/>
      <c r="F52" s="89"/>
      <c r="G52" s="89"/>
      <c r="H52" s="89"/>
      <c r="I52" s="89"/>
      <c r="J52" s="89"/>
      <c r="K52" s="89"/>
      <c r="L52" s="89"/>
      <c r="M52" s="89"/>
      <c r="O52" s="79"/>
      <c r="P52" s="79"/>
      <c r="Q52" s="79"/>
      <c r="R52" s="79"/>
      <c r="S52" s="79"/>
      <c r="T52" s="79"/>
      <c r="U52" s="79"/>
      <c r="V52" s="79"/>
      <c r="W52" s="79"/>
      <c r="X52" s="79"/>
      <c r="Y52" s="79"/>
    </row>
    <row r="53" spans="2:25">
      <c r="B53" s="89"/>
      <c r="C53" s="89"/>
      <c r="D53" s="89"/>
      <c r="E53" s="89"/>
      <c r="F53" s="89"/>
      <c r="G53" s="89"/>
      <c r="H53" s="89"/>
      <c r="I53" s="89"/>
      <c r="J53" s="89"/>
      <c r="K53" s="89"/>
      <c r="L53" s="89"/>
      <c r="M53" s="89"/>
      <c r="O53" s="79"/>
      <c r="P53" s="79"/>
      <c r="Q53" s="79"/>
      <c r="R53" s="79"/>
      <c r="S53" s="79"/>
      <c r="T53" s="79"/>
      <c r="U53" s="79"/>
      <c r="V53" s="79"/>
      <c r="W53" s="79"/>
      <c r="X53" s="79"/>
      <c r="Y53" s="79"/>
    </row>
    <row r="54" spans="2:25">
      <c r="B54" s="89"/>
      <c r="C54" s="89"/>
      <c r="D54" s="89"/>
      <c r="E54" s="89"/>
      <c r="F54" s="89"/>
      <c r="G54" s="89"/>
      <c r="H54" s="89"/>
      <c r="I54" s="89"/>
      <c r="J54" s="89"/>
      <c r="K54" s="89"/>
      <c r="L54" s="89"/>
      <c r="M54" s="89"/>
      <c r="O54" s="79"/>
      <c r="P54" s="79"/>
      <c r="Q54" s="79"/>
      <c r="R54" s="79"/>
      <c r="S54" s="79"/>
      <c r="T54" s="79"/>
      <c r="U54" s="79"/>
      <c r="V54" s="79"/>
      <c r="W54" s="79"/>
      <c r="X54" s="79"/>
      <c r="Y54" s="79"/>
    </row>
    <row r="55" spans="2:25">
      <c r="B55" s="89"/>
      <c r="C55" s="89"/>
      <c r="D55" s="89"/>
      <c r="E55" s="89"/>
      <c r="F55" s="89"/>
      <c r="G55" s="89"/>
      <c r="H55" s="89"/>
      <c r="I55" s="89"/>
      <c r="J55" s="89"/>
      <c r="K55" s="89"/>
      <c r="L55" s="89"/>
      <c r="M55" s="89"/>
      <c r="O55" s="79"/>
      <c r="P55" s="79"/>
      <c r="Q55" s="79"/>
      <c r="R55" s="79"/>
      <c r="S55" s="79"/>
      <c r="T55" s="79"/>
      <c r="U55" s="79"/>
      <c r="V55" s="79"/>
      <c r="W55" s="79"/>
      <c r="X55" s="79"/>
      <c r="Y55" s="79"/>
    </row>
    <row r="56" spans="2:25">
      <c r="B56" s="89"/>
      <c r="C56" s="89"/>
      <c r="D56" s="1524"/>
      <c r="E56" s="1524"/>
      <c r="F56" s="1524"/>
      <c r="G56" s="1524"/>
      <c r="H56" s="90"/>
      <c r="I56" s="1525"/>
      <c r="J56" s="1525"/>
      <c r="K56" s="1524"/>
      <c r="L56" s="1524"/>
      <c r="M56" s="89"/>
      <c r="O56" s="79"/>
      <c r="P56" s="79"/>
      <c r="Q56" s="79"/>
      <c r="R56" s="79"/>
      <c r="S56" s="79"/>
      <c r="T56" s="79"/>
      <c r="U56" s="79"/>
      <c r="V56" s="79"/>
      <c r="W56" s="79"/>
      <c r="X56" s="79"/>
      <c r="Y56" s="79"/>
    </row>
    <row r="57" spans="2:25">
      <c r="B57" s="89"/>
      <c r="C57" s="91"/>
      <c r="D57" s="89"/>
      <c r="E57" s="89"/>
      <c r="F57" s="89"/>
      <c r="G57" s="89"/>
      <c r="H57" s="89"/>
      <c r="I57" s="92"/>
      <c r="J57" s="92"/>
      <c r="K57" s="89"/>
      <c r="L57" s="89"/>
      <c r="M57" s="89"/>
      <c r="O57" s="84"/>
      <c r="P57" s="84"/>
      <c r="Q57" s="1517"/>
      <c r="R57" s="1517"/>
      <c r="S57" s="1517"/>
      <c r="T57" s="1517"/>
      <c r="U57" s="1517"/>
      <c r="V57" s="1517"/>
      <c r="W57" s="1517"/>
      <c r="X57" s="1517"/>
      <c r="Y57" s="79"/>
    </row>
    <row r="58" spans="2:25">
      <c r="B58" s="89"/>
      <c r="C58" s="89"/>
      <c r="D58" s="89"/>
      <c r="E58" s="89"/>
      <c r="F58" s="89"/>
      <c r="G58" s="89"/>
      <c r="H58" s="89"/>
      <c r="I58" s="89"/>
      <c r="J58" s="89"/>
      <c r="K58" s="89"/>
      <c r="L58" s="89"/>
      <c r="M58" s="89"/>
      <c r="O58" s="85"/>
      <c r="P58" s="85"/>
      <c r="Q58" s="85"/>
      <c r="R58" s="85"/>
      <c r="S58" s="85"/>
      <c r="T58" s="85"/>
      <c r="U58" s="85"/>
      <c r="V58" s="85"/>
      <c r="W58" s="85"/>
      <c r="X58" s="85"/>
      <c r="Y58" s="79"/>
    </row>
    <row r="59" spans="2:25">
      <c r="B59" s="89"/>
      <c r="C59" s="89"/>
      <c r="D59" s="89"/>
      <c r="E59" s="89"/>
      <c r="F59" s="89"/>
      <c r="G59" s="89"/>
      <c r="H59" s="89"/>
      <c r="I59" s="89"/>
      <c r="J59" s="89"/>
      <c r="K59" s="89"/>
      <c r="L59" s="89"/>
      <c r="M59" s="89"/>
      <c r="O59" s="85"/>
      <c r="P59" s="85"/>
      <c r="Q59" s="85"/>
      <c r="R59" s="85"/>
      <c r="S59" s="85"/>
      <c r="T59" s="85"/>
      <c r="U59" s="85"/>
      <c r="V59" s="85"/>
      <c r="W59" s="85"/>
      <c r="X59" s="86"/>
      <c r="Y59" s="79"/>
    </row>
    <row r="60" spans="2:25">
      <c r="B60" s="89"/>
      <c r="C60" s="89"/>
      <c r="D60" s="89"/>
      <c r="E60" s="89"/>
      <c r="F60" s="89"/>
      <c r="G60" s="89"/>
      <c r="H60" s="89"/>
      <c r="I60" s="89"/>
      <c r="J60" s="89"/>
      <c r="K60" s="89"/>
      <c r="L60" s="89"/>
      <c r="M60" s="89"/>
      <c r="O60" s="85"/>
      <c r="P60" s="85"/>
      <c r="Q60" s="85"/>
      <c r="R60" s="85"/>
      <c r="S60" s="85"/>
      <c r="T60" s="85"/>
      <c r="U60" s="85"/>
      <c r="V60" s="85"/>
      <c r="W60" s="85"/>
      <c r="X60" s="86"/>
      <c r="Y60" s="79"/>
    </row>
    <row r="61" spans="2:25">
      <c r="B61" s="89"/>
      <c r="C61" s="89"/>
      <c r="D61" s="89"/>
      <c r="E61" s="89"/>
      <c r="F61" s="89"/>
      <c r="G61" s="89"/>
      <c r="H61" s="89"/>
      <c r="I61" s="89"/>
      <c r="J61" s="89"/>
      <c r="K61" s="89"/>
      <c r="L61" s="89"/>
      <c r="M61" s="89"/>
      <c r="O61" s="85"/>
      <c r="P61" s="85"/>
      <c r="Q61" s="85"/>
      <c r="R61" s="85"/>
      <c r="S61" s="85"/>
      <c r="T61" s="85"/>
      <c r="U61" s="85"/>
      <c r="V61" s="85"/>
      <c r="W61" s="85"/>
      <c r="X61" s="86"/>
      <c r="Y61" s="79"/>
    </row>
    <row r="62" spans="2:25">
      <c r="B62" s="89"/>
      <c r="C62" s="89"/>
      <c r="D62" s="89"/>
      <c r="E62" s="89"/>
      <c r="F62" s="89"/>
      <c r="G62" s="89"/>
      <c r="H62" s="89"/>
      <c r="I62" s="89"/>
      <c r="J62" s="89"/>
      <c r="K62" s="89"/>
      <c r="L62" s="89"/>
      <c r="M62" s="89"/>
      <c r="O62" s="85"/>
      <c r="P62" s="85"/>
      <c r="Q62" s="85"/>
      <c r="R62" s="85"/>
      <c r="S62" s="85"/>
      <c r="T62" s="85"/>
      <c r="U62" s="85"/>
      <c r="V62" s="85"/>
      <c r="W62" s="85"/>
      <c r="X62" s="86"/>
      <c r="Y62" s="79"/>
    </row>
    <row r="63" spans="2:25">
      <c r="B63" s="89"/>
      <c r="C63" s="89"/>
      <c r="D63" s="89"/>
      <c r="E63" s="89"/>
      <c r="F63" s="89"/>
      <c r="G63" s="89"/>
      <c r="H63" s="89"/>
      <c r="I63" s="89"/>
      <c r="J63" s="89"/>
      <c r="K63" s="89"/>
      <c r="L63" s="89"/>
      <c r="M63" s="89"/>
      <c r="O63" s="85"/>
      <c r="P63" s="85"/>
      <c r="Q63" s="85"/>
      <c r="R63" s="85"/>
      <c r="S63" s="85"/>
      <c r="T63" s="85"/>
      <c r="U63" s="85"/>
      <c r="V63" s="85"/>
      <c r="W63" s="85"/>
      <c r="X63" s="86"/>
      <c r="Y63" s="79"/>
    </row>
    <row r="64" spans="2:25">
      <c r="B64" s="89"/>
      <c r="C64" s="89"/>
      <c r="D64" s="89"/>
      <c r="E64" s="89"/>
      <c r="F64" s="89"/>
      <c r="G64" s="89"/>
      <c r="H64" s="89"/>
      <c r="I64" s="89"/>
      <c r="J64" s="89"/>
      <c r="K64" s="89"/>
      <c r="L64" s="89"/>
      <c r="M64" s="89"/>
      <c r="O64" s="85"/>
      <c r="P64" s="85"/>
      <c r="Q64" s="85"/>
      <c r="R64" s="85"/>
      <c r="S64" s="85"/>
      <c r="T64" s="85"/>
      <c r="U64" s="85"/>
      <c r="V64" s="85"/>
      <c r="W64" s="85"/>
      <c r="X64" s="86"/>
      <c r="Y64" s="79"/>
    </row>
    <row r="65" spans="2:25">
      <c r="B65" s="89"/>
      <c r="C65" s="89"/>
      <c r="D65" s="89"/>
      <c r="E65" s="89"/>
      <c r="F65" s="89"/>
      <c r="G65" s="89"/>
      <c r="H65" s="89"/>
      <c r="I65" s="89"/>
      <c r="J65" s="89"/>
      <c r="K65" s="89"/>
      <c r="L65" s="89"/>
      <c r="M65" s="89"/>
      <c r="O65" s="85"/>
      <c r="P65" s="85"/>
      <c r="Q65" s="85"/>
      <c r="R65" s="85"/>
      <c r="S65" s="85"/>
      <c r="T65" s="85"/>
      <c r="U65" s="85"/>
      <c r="V65" s="85"/>
      <c r="W65" s="85"/>
      <c r="X65" s="86"/>
      <c r="Y65" s="79"/>
    </row>
    <row r="66" spans="2:25">
      <c r="B66" s="89"/>
      <c r="C66" s="89"/>
      <c r="D66" s="89"/>
      <c r="E66" s="89"/>
      <c r="F66" s="89"/>
      <c r="G66" s="89"/>
      <c r="H66" s="89"/>
      <c r="I66" s="89"/>
      <c r="J66" s="89"/>
      <c r="K66" s="89"/>
      <c r="L66" s="89"/>
      <c r="M66" s="89"/>
      <c r="O66" s="85"/>
      <c r="P66" s="85"/>
      <c r="Q66" s="85"/>
      <c r="R66" s="85"/>
      <c r="S66" s="85"/>
      <c r="T66" s="85"/>
      <c r="U66" s="85"/>
      <c r="V66" s="85"/>
      <c r="W66" s="85"/>
      <c r="X66" s="86"/>
      <c r="Y66" s="79"/>
    </row>
    <row r="67" spans="2:25">
      <c r="B67" s="89"/>
      <c r="C67" s="89"/>
      <c r="D67" s="89"/>
      <c r="E67" s="89"/>
      <c r="F67" s="89"/>
      <c r="G67" s="89"/>
      <c r="H67" s="89"/>
      <c r="I67" s="89"/>
      <c r="J67" s="89"/>
      <c r="K67" s="89"/>
      <c r="L67" s="89"/>
      <c r="M67" s="89"/>
      <c r="O67" s="85"/>
      <c r="P67" s="85"/>
      <c r="Q67" s="85"/>
      <c r="R67" s="85"/>
      <c r="S67" s="85"/>
      <c r="T67" s="85"/>
      <c r="U67" s="85"/>
      <c r="V67" s="85"/>
      <c r="W67" s="85"/>
      <c r="X67" s="86"/>
      <c r="Y67" s="79"/>
    </row>
    <row r="68" spans="2:25">
      <c r="B68" s="89"/>
      <c r="C68" s="89"/>
      <c r="D68" s="89"/>
      <c r="E68" s="89"/>
      <c r="F68" s="89"/>
      <c r="G68" s="89"/>
      <c r="H68" s="89"/>
      <c r="I68" s="89"/>
      <c r="J68" s="89"/>
      <c r="K68" s="89"/>
      <c r="L68" s="89"/>
      <c r="M68" s="89"/>
      <c r="O68" s="85"/>
      <c r="P68" s="85"/>
      <c r="Q68" s="85"/>
      <c r="R68" s="85"/>
      <c r="S68" s="85"/>
      <c r="T68" s="85"/>
      <c r="U68" s="85"/>
      <c r="V68" s="85"/>
      <c r="W68" s="85"/>
      <c r="X68" s="86"/>
      <c r="Y68" s="79"/>
    </row>
    <row r="69" spans="2:25">
      <c r="B69" s="89"/>
      <c r="C69" s="89"/>
      <c r="D69" s="89"/>
      <c r="E69" s="89"/>
      <c r="F69" s="89"/>
      <c r="G69" s="89"/>
      <c r="H69" s="89"/>
      <c r="I69" s="89"/>
      <c r="J69" s="89"/>
      <c r="K69" s="89"/>
      <c r="L69" s="89"/>
      <c r="M69" s="89"/>
      <c r="O69" s="85"/>
      <c r="P69" s="85"/>
      <c r="Q69" s="85"/>
      <c r="R69" s="85"/>
      <c r="S69" s="85"/>
      <c r="T69" s="85"/>
      <c r="U69" s="85"/>
      <c r="V69" s="85"/>
      <c r="W69" s="85"/>
      <c r="X69" s="86"/>
      <c r="Y69" s="79"/>
    </row>
    <row r="70" spans="2:25">
      <c r="B70" s="89"/>
      <c r="C70" s="89"/>
      <c r="D70" s="89"/>
      <c r="E70" s="89"/>
      <c r="F70" s="89"/>
      <c r="G70" s="89"/>
      <c r="H70" s="89"/>
      <c r="I70" s="89"/>
      <c r="J70" s="89"/>
      <c r="K70" s="89"/>
      <c r="L70" s="89"/>
      <c r="M70" s="89"/>
      <c r="O70" s="85"/>
      <c r="P70" s="85"/>
      <c r="Q70" s="85"/>
      <c r="R70" s="85"/>
      <c r="S70" s="85"/>
      <c r="T70" s="85"/>
      <c r="U70" s="85"/>
      <c r="V70" s="85"/>
      <c r="W70" s="85"/>
      <c r="X70" s="86"/>
      <c r="Y70" s="79"/>
    </row>
    <row r="71" spans="2:25">
      <c r="B71" s="89"/>
      <c r="C71" s="89"/>
      <c r="D71" s="89"/>
      <c r="E71" s="89"/>
      <c r="F71" s="89"/>
      <c r="G71" s="89"/>
      <c r="H71" s="89"/>
      <c r="I71" s="89"/>
      <c r="J71" s="89"/>
      <c r="K71" s="89"/>
      <c r="L71" s="89"/>
      <c r="M71" s="89"/>
      <c r="O71" s="85"/>
      <c r="P71" s="85"/>
      <c r="Q71" s="85"/>
      <c r="R71" s="85"/>
      <c r="S71" s="85"/>
      <c r="T71" s="85"/>
      <c r="U71" s="85"/>
      <c r="V71" s="85"/>
      <c r="W71" s="85"/>
      <c r="X71" s="86"/>
      <c r="Y71" s="79"/>
    </row>
    <row r="72" spans="2:25">
      <c r="B72" s="89"/>
      <c r="C72" s="89"/>
      <c r="D72" s="89"/>
      <c r="E72" s="89"/>
      <c r="F72" s="89"/>
      <c r="G72" s="89"/>
      <c r="H72" s="89"/>
      <c r="I72" s="89"/>
      <c r="J72" s="89"/>
      <c r="K72" s="89"/>
      <c r="L72" s="89"/>
      <c r="M72" s="89"/>
      <c r="O72" s="85"/>
      <c r="P72" s="85"/>
      <c r="Q72" s="85"/>
      <c r="R72" s="85"/>
      <c r="S72" s="85"/>
      <c r="T72" s="85"/>
      <c r="U72" s="85"/>
      <c r="V72" s="85"/>
      <c r="W72" s="85"/>
      <c r="X72" s="86"/>
      <c r="Y72" s="79"/>
    </row>
    <row r="73" spans="2:25">
      <c r="B73" s="89"/>
      <c r="C73" s="89"/>
      <c r="D73" s="89"/>
      <c r="E73" s="89"/>
      <c r="F73" s="89"/>
      <c r="G73" s="89"/>
      <c r="H73" s="89"/>
      <c r="I73" s="89"/>
      <c r="J73" s="89"/>
      <c r="K73" s="89"/>
      <c r="L73" s="89"/>
      <c r="M73" s="89"/>
      <c r="O73" s="85"/>
      <c r="P73" s="85"/>
      <c r="Q73" s="85"/>
      <c r="R73" s="85"/>
      <c r="S73" s="85"/>
      <c r="T73" s="85"/>
      <c r="U73" s="85"/>
      <c r="V73" s="85"/>
      <c r="W73" s="85"/>
      <c r="X73" s="86"/>
      <c r="Y73" s="79"/>
    </row>
    <row r="74" spans="2:25">
      <c r="B74" s="89"/>
      <c r="C74" s="89"/>
      <c r="D74" s="89"/>
      <c r="E74" s="89"/>
      <c r="F74" s="89"/>
      <c r="G74" s="89"/>
      <c r="H74" s="89"/>
      <c r="I74" s="89"/>
      <c r="J74" s="89"/>
      <c r="K74" s="89"/>
      <c r="L74" s="89"/>
      <c r="M74" s="89"/>
      <c r="O74" s="85"/>
      <c r="P74" s="85"/>
      <c r="Q74" s="85"/>
      <c r="R74" s="85"/>
      <c r="S74" s="85"/>
      <c r="T74" s="85"/>
      <c r="U74" s="85"/>
      <c r="V74" s="86"/>
      <c r="W74" s="85"/>
      <c r="X74" s="86"/>
      <c r="Y74" s="79"/>
    </row>
    <row r="75" spans="2:25" ht="15.5">
      <c r="B75" s="1534" t="s">
        <v>483</v>
      </c>
      <c r="C75" s="1534"/>
      <c r="D75" s="89"/>
      <c r="E75" s="1534" t="s">
        <v>484</v>
      </c>
      <c r="F75" s="1534"/>
      <c r="G75" s="89"/>
      <c r="H75" s="1534" t="s">
        <v>260</v>
      </c>
      <c r="I75" s="1534"/>
      <c r="J75" s="89"/>
      <c r="K75" s="1534" t="s">
        <v>318</v>
      </c>
      <c r="L75" s="1534"/>
      <c r="M75" s="89"/>
      <c r="O75" s="1532" t="s">
        <v>483</v>
      </c>
      <c r="P75" s="1533"/>
      <c r="Q75" s="79"/>
      <c r="R75" s="1532" t="s">
        <v>484</v>
      </c>
      <c r="S75" s="1533"/>
      <c r="T75" s="79"/>
      <c r="U75" s="1532" t="s">
        <v>260</v>
      </c>
      <c r="V75" s="1533"/>
      <c r="W75" s="79"/>
      <c r="X75" s="1532" t="s">
        <v>318</v>
      </c>
      <c r="Y75" s="1533"/>
    </row>
    <row r="76" spans="2:25">
      <c r="B76" s="93" t="s">
        <v>278</v>
      </c>
      <c r="C76" s="93" t="s">
        <v>52</v>
      </c>
      <c r="D76" s="94"/>
      <c r="E76" s="93" t="s">
        <v>278</v>
      </c>
      <c r="F76" s="93" t="s">
        <v>52</v>
      </c>
      <c r="G76" s="94"/>
      <c r="H76" s="93" t="s">
        <v>278</v>
      </c>
      <c r="I76" s="93" t="s">
        <v>52</v>
      </c>
      <c r="J76" s="94"/>
      <c r="K76" s="93" t="s">
        <v>278</v>
      </c>
      <c r="L76" s="93" t="s">
        <v>52</v>
      </c>
      <c r="M76" s="89"/>
      <c r="O76" s="80" t="s">
        <v>278</v>
      </c>
      <c r="P76" s="80" t="s">
        <v>52</v>
      </c>
      <c r="Q76" s="81"/>
      <c r="R76" s="80" t="s">
        <v>278</v>
      </c>
      <c r="S76" s="80" t="s">
        <v>52</v>
      </c>
      <c r="T76" s="81"/>
      <c r="U76" s="80" t="s">
        <v>278</v>
      </c>
      <c r="V76" s="80" t="s">
        <v>52</v>
      </c>
      <c r="W76" s="81"/>
      <c r="X76" s="80" t="s">
        <v>278</v>
      </c>
      <c r="Y76" s="80" t="s">
        <v>52</v>
      </c>
    </row>
    <row r="77" spans="2:25">
      <c r="B77" s="284">
        <v>0</v>
      </c>
      <c r="C77" s="284">
        <f>IF(B77&lt;='B 2. B 3. '!$G$25,'B 2. B 3. '!$H$25,IF(AND(B77&lt;='B 2. B 3. '!$G$24,B77&gt;'B 2. B 3. '!$G$25),0+(('B 2. B 3. '!$H$25-'B 2. B 3. '!$H$24)/('B 2. B 3. '!$G$25-'B 2. B 3. '!$G$24))*(B77-'B 2. B 3. '!$G$24),0))</f>
        <v>50</v>
      </c>
      <c r="D77" s="285"/>
      <c r="E77" s="284">
        <v>0</v>
      </c>
      <c r="F77" s="284">
        <f>IF(E77&lt;='B 2. B 3. '!$G$27,'B 2. B 3. '!$H$27,IF(AND(E77&lt;='B 2. B 3. '!$G$26,E77&gt;'B 2. B 3. '!$G$27),0+(('B 2. B 3. '!$H$27-'B 2. B 3. '!$H$26)/('B 2. B 3. '!$G$27-'B 2. B 3. '!$G$26))*(E77-'B 2. B 3. '!$G$26),0))</f>
        <v>45</v>
      </c>
      <c r="G77" s="285"/>
      <c r="H77" s="284">
        <v>0</v>
      </c>
      <c r="I77" s="284">
        <f>IF(H77&lt;='B 2. B 3. '!$G$29,'B 2. B 3. '!$H$29,IF(AND(H77&lt;='B 2. B 3. '!$G$28,H77&gt;'B 2. B 3. '!$G$29),0+(('B 2. B 3. '!$H$29-'B 2. B 3. '!$H$28)/('B 2. B 3. '!$G$29-'B 2. B 3. '!$G$28))*(H77-'B 2. B 3. '!$G$28),0))</f>
        <v>120</v>
      </c>
      <c r="J77" s="285"/>
      <c r="K77" s="284">
        <v>0</v>
      </c>
      <c r="L77" s="284">
        <f>IF(K77&lt;='B 2. B 3. '!$G$31,'B 2. B 3. '!$H$31,IF(AND(K77&lt;='B 2. B 3. '!$G$30,K77&gt;'B 2. B 3. '!$G$31),0+(('B 2. B 3. '!$H$31-'B 2. B 3. '!$H$30)/('B 2. B 3. '!$G$31-'B 2. B 3. '!$G$30))*(K77-'B 2. B 3. '!$G$30),0))</f>
        <v>135</v>
      </c>
      <c r="M77" s="285"/>
      <c r="N77" s="286"/>
      <c r="O77" s="287">
        <v>0</v>
      </c>
      <c r="P77" s="287">
        <f>IF(O77&lt;='B 2. B 3. '!$L$25,'B 2. B 3. '!$M$25,IF(AND(O77&lt;='B 2. B 3. '!$L$24,O77&gt;'B 2. B 3. '!$L$25),0+(('B 2. B 3. '!$M$25-'B 2. B 3. '!$M$24)/('B 2. B 3. '!$L$25-'B 2. B 3. '!$L$24))*(O77-'B 2. B 3. '!$L$24),0))</f>
        <v>50</v>
      </c>
      <c r="Q77" s="288"/>
      <c r="R77" s="287">
        <v>0</v>
      </c>
      <c r="S77" s="287">
        <f>IF(R77&lt;='B 2. B 3. '!$L$27,'B 2. B 3. '!$M$27,IF(AND(R77&lt;='B 2. B 3. '!$L$26,R77&gt;'B 2. B 3. '!$L$27),0+(('B 2. B 3. '!$M$27-'B 2. B 3. '!$M$26)/('B 2. B 3. '!$L$27-'B 2. B 3. '!$L$26))*(R77-'B 2. B 3. '!$L$26),0))</f>
        <v>45</v>
      </c>
      <c r="T77" s="288"/>
      <c r="U77" s="287">
        <v>0</v>
      </c>
      <c r="V77" s="287">
        <f>IF(U77&lt;='B 2. B 3. '!$L$29,'B 2. B 3. '!$M$29,IF(AND(U77&lt;='B 2. B 3. '!$L$28,U77&gt;'B 2. B 3. '!$L$29),0+(('B 2. B 3. '!$M$29-'B 2. B 3. '!$M$28)/('B 2. B 3. '!$L$29-'B 2. B 3. '!$L$28))*(U77-'B 2. B 3. '!$L$28),0))</f>
        <v>120</v>
      </c>
      <c r="W77" s="288"/>
      <c r="X77" s="287">
        <v>0</v>
      </c>
      <c r="Y77" s="287">
        <f>IF(X77&lt;='B 2. B 3. '!$L$31,'B 2. B 3. '!$M$31,IF(AND(X77&lt;='B 2. B 3. '!$L$30,X77&gt;'B 2. B 3. '!$L$31),0+(('B 2. B 3. '!$M$31-'B 2. B 3. '!$M$30)/('B 2. B 3. '!$L$31-'B 2. B 3. '!$L$30))*(X77-'B 2. B 3. '!$L$30),0))</f>
        <v>135</v>
      </c>
    </row>
    <row r="78" spans="2:25">
      <c r="B78" s="284">
        <v>5</v>
      </c>
      <c r="C78" s="284">
        <f>IF(B78&lt;='B 2. B 3. '!$G$25,'B 2. B 3. '!$H$25,IF(AND(B78&lt;='B 2. B 3. '!$G$24,B78&gt;'B 2. B 3. '!$G$25),0+(('B 2. B 3. '!$H$25-'B 2. B 3. '!$H$24)/('B 2. B 3. '!$G$25-'B 2. B 3. '!$G$24))*(B78-'B 2. B 3. '!$G$24),0))</f>
        <v>50</v>
      </c>
      <c r="D78" s="285"/>
      <c r="E78" s="284">
        <v>5</v>
      </c>
      <c r="F78" s="284">
        <f>IF(E78&lt;='B 2. B 3. '!$G$27,'B 2. B 3. '!$H$27,IF(AND(E78&lt;='B 2. B 3. '!$G$26,E78&gt;'B 2. B 3. '!$G$27),0+(('B 2. B 3. '!$H$27-'B 2. B 3. '!$H$26)/('B 2. B 3. '!$G$27-'B 2. B 3. '!$G$26))*(E78-'B 2. B 3. '!$G$26),0))</f>
        <v>45</v>
      </c>
      <c r="G78" s="285"/>
      <c r="H78" s="284">
        <v>5</v>
      </c>
      <c r="I78" s="284">
        <f>IF(H78&lt;='B 2. B 3. '!$G$29,'B 2. B 3. '!$H$29,IF(AND(H78&lt;='B 2. B 3. '!$G$28,H78&gt;'B 2. B 3. '!$G$29),0+(('B 2. B 3. '!$H$29-'B 2. B 3. '!$H$28)/('B 2. B 3. '!$G$29-'B 2. B 3. '!$G$28))*(H78-'B 2. B 3. '!$G$28),0))</f>
        <v>120</v>
      </c>
      <c r="J78" s="285"/>
      <c r="K78" s="284">
        <v>2.5</v>
      </c>
      <c r="L78" s="284">
        <f>IF(K78&lt;='B 2. B 3. '!$G$31,'B 2. B 3. '!$H$31,IF(AND(K78&lt;='B 2. B 3. '!$G$30,K78&gt;'B 2. B 3. '!$G$31),0+(('B 2. B 3. '!$H$31-'B 2. B 3. '!$H$30)/('B 2. B 3. '!$G$31-'B 2. B 3. '!$G$30))*(K78-'B 2. B 3. '!$G$30),0))</f>
        <v>135</v>
      </c>
      <c r="M78" s="285"/>
      <c r="N78" s="286"/>
      <c r="O78" s="287">
        <v>2</v>
      </c>
      <c r="P78" s="287">
        <f>IF(O78&lt;='B 2. B 3. '!$L$25,'B 2. B 3. '!$M$25,IF(AND(O78&lt;='B 2. B 3. '!$L$24,O78&gt;'B 2. B 3. '!$L$25),0+(('B 2. B 3. '!$M$25-'B 2. B 3. '!$M$24)/('B 2. B 3. '!$L$25-'B 2. B 3. '!$L$24))*(O78-'B 2. B 3. '!$L$24),0))</f>
        <v>50</v>
      </c>
      <c r="Q78" s="288"/>
      <c r="R78" s="287">
        <v>2</v>
      </c>
      <c r="S78" s="287">
        <f>IF(R78&lt;='B 2. B 3. '!$L$27,'B 2. B 3. '!$M$27,IF(AND(R78&lt;='B 2. B 3. '!$L$26,R78&gt;'B 2. B 3. '!$L$27),0+(('B 2. B 3. '!$M$27-'B 2. B 3. '!$M$26)/('B 2. B 3. '!$L$27-'B 2. B 3. '!$L$26))*(R78-'B 2. B 3. '!$L$26),0))</f>
        <v>45</v>
      </c>
      <c r="T78" s="288"/>
      <c r="U78" s="287">
        <v>2</v>
      </c>
      <c r="V78" s="287">
        <f>IF(U78&lt;='B 2. B 3. '!$L$29,'B 2. B 3. '!$M$29,IF(AND(U78&lt;='B 2. B 3. '!$L$28,U78&gt;'B 2. B 3. '!$L$29),0+(('B 2. B 3. '!$M$29-'B 2. B 3. '!$M$28)/('B 2. B 3. '!$L$29-'B 2. B 3. '!$L$28))*(U78-'B 2. B 3. '!$L$28),0))</f>
        <v>120</v>
      </c>
      <c r="W78" s="288"/>
      <c r="X78" s="287">
        <v>2</v>
      </c>
      <c r="Y78" s="287">
        <f>IF(X78&lt;='B 2. B 3. '!$L$31,'B 2. B 3. '!$M$31,IF(AND(X78&lt;='B 2. B 3. '!$L$30,X78&gt;'B 2. B 3. '!$L$31),0+(('B 2. B 3. '!$M$31-'B 2. B 3. '!$M$30)/('B 2. B 3. '!$L$31-'B 2. B 3. '!$L$30))*(X78-'B 2. B 3. '!$L$30),0))</f>
        <v>135</v>
      </c>
    </row>
    <row r="79" spans="2:25">
      <c r="B79" s="284">
        <v>10</v>
      </c>
      <c r="C79" s="284">
        <f>IF(B79&lt;='B 2. B 3. '!$G$25,'B 2. B 3. '!$H$25,IF(AND(B79&lt;='B 2. B 3. '!$G$24,B79&gt;'B 2. B 3. '!$G$25),0+(('B 2. B 3. '!$H$25-'B 2. B 3. '!$H$24)/('B 2. B 3. '!$G$25-'B 2. B 3. '!$G$24))*(B79-'B 2. B 3. '!$G$24),0))</f>
        <v>50</v>
      </c>
      <c r="D79" s="285"/>
      <c r="E79" s="284">
        <v>10</v>
      </c>
      <c r="F79" s="284">
        <f>IF(E79&lt;='B 2. B 3. '!$G$27,'B 2. B 3. '!$H$27,IF(AND(E79&lt;='B 2. B 3. '!$G$26,E79&gt;'B 2. B 3. '!$G$27),0+(('B 2. B 3. '!$H$27-'B 2. B 3. '!$H$26)/('B 2. B 3. '!$G$27-'B 2. B 3. '!$G$26))*(E79-'B 2. B 3. '!$G$26),0))</f>
        <v>45</v>
      </c>
      <c r="G79" s="285"/>
      <c r="H79" s="284">
        <v>10</v>
      </c>
      <c r="I79" s="284">
        <f>IF(H79&lt;='B 2. B 3. '!$G$29,'B 2. B 3. '!$H$29,IF(AND(H79&lt;='B 2. B 3. '!$G$28,H79&gt;'B 2. B 3. '!$G$29),0+(('B 2. B 3. '!$H$29-'B 2. B 3. '!$H$28)/('B 2. B 3. '!$G$29-'B 2. B 3. '!$G$28))*(H79-'B 2. B 3. '!$G$28),0))</f>
        <v>120</v>
      </c>
      <c r="J79" s="285"/>
      <c r="K79" s="284">
        <v>5</v>
      </c>
      <c r="L79" s="284">
        <f>IF(K79&lt;='B 2. B 3. '!$G$31,'B 2. B 3. '!$H$31,IF(AND(K79&lt;='B 2. B 3. '!$G$30,K79&gt;'B 2. B 3. '!$G$31),0+(('B 2. B 3. '!$H$31-'B 2. B 3. '!$H$30)/('B 2. B 3. '!$G$31-'B 2. B 3. '!$G$30))*(K79-'B 2. B 3. '!$G$30),0))</f>
        <v>135</v>
      </c>
      <c r="M79" s="285"/>
      <c r="N79" s="286"/>
      <c r="O79" s="287">
        <v>4</v>
      </c>
      <c r="P79" s="287">
        <f>IF(O79&lt;='B 2. B 3. '!$L$25,'B 2. B 3. '!$M$25,IF(AND(O79&lt;='B 2. B 3. '!$L$24,O79&gt;'B 2. B 3. '!$L$25),0+(('B 2. B 3. '!$M$25-'B 2. B 3. '!$M$24)/('B 2. B 3. '!$L$25-'B 2. B 3. '!$L$24))*(O79-'B 2. B 3. '!$L$24),0))</f>
        <v>50</v>
      </c>
      <c r="Q79" s="288"/>
      <c r="R79" s="287">
        <v>4</v>
      </c>
      <c r="S79" s="287">
        <f>IF(R79&lt;='B 2. B 3. '!$L$27,'B 2. B 3. '!$M$27,IF(AND(R79&lt;='B 2. B 3. '!$L$26,R79&gt;'B 2. B 3. '!$L$27),0+(('B 2. B 3. '!$M$27-'B 2. B 3. '!$M$26)/('B 2. B 3. '!$L$27-'B 2. B 3. '!$L$26))*(R79-'B 2. B 3. '!$L$26),0))</f>
        <v>45</v>
      </c>
      <c r="T79" s="288"/>
      <c r="U79" s="287">
        <v>4</v>
      </c>
      <c r="V79" s="287">
        <f>IF(U79&lt;='B 2. B 3. '!$L$29,'B 2. B 3. '!$M$29,IF(AND(U79&lt;='B 2. B 3. '!$L$28,U79&gt;'B 2. B 3. '!$L$29),0+(('B 2. B 3. '!$M$29-'B 2. B 3. '!$M$28)/('B 2. B 3. '!$L$29-'B 2. B 3. '!$L$28))*(U79-'B 2. B 3. '!$L$28),0))</f>
        <v>120</v>
      </c>
      <c r="W79" s="288"/>
      <c r="X79" s="287">
        <v>4</v>
      </c>
      <c r="Y79" s="287">
        <f>IF(X79&lt;='B 2. B 3. '!$L$31,'B 2. B 3. '!$M$31,IF(AND(X79&lt;='B 2. B 3. '!$L$30,X79&gt;'B 2. B 3. '!$L$31),0+(('B 2. B 3. '!$M$31-'B 2. B 3. '!$M$30)/('B 2. B 3. '!$L$31-'B 2. B 3. '!$L$30))*(X79-'B 2. B 3. '!$L$30),0))</f>
        <v>135</v>
      </c>
    </row>
    <row r="80" spans="2:25">
      <c r="B80" s="284">
        <v>15</v>
      </c>
      <c r="C80" s="284">
        <f>IF(B80&lt;='B 2. B 3. '!$G$25,'B 2. B 3. '!$H$25,IF(AND(B80&lt;='B 2. B 3. '!$G$24,B80&gt;'B 2. B 3. '!$G$25),0+(('B 2. B 3. '!$H$25-'B 2. B 3. '!$H$24)/('B 2. B 3. '!$G$25-'B 2. B 3. '!$G$24))*(B80-'B 2. B 3. '!$G$24),0))</f>
        <v>50</v>
      </c>
      <c r="D80" s="285"/>
      <c r="E80" s="284">
        <v>15</v>
      </c>
      <c r="F80" s="284">
        <f>IF(E80&lt;='B 2. B 3. '!$G$27,'B 2. B 3. '!$H$27,IF(AND(E80&lt;='B 2. B 3. '!$G$26,E80&gt;'B 2. B 3. '!$G$27),0+(('B 2. B 3. '!$H$27-'B 2. B 3. '!$H$26)/('B 2. B 3. '!$G$27-'B 2. B 3. '!$G$26))*(E80-'B 2. B 3. '!$G$26),0))</f>
        <v>45</v>
      </c>
      <c r="G80" s="285"/>
      <c r="H80" s="284">
        <v>15</v>
      </c>
      <c r="I80" s="284">
        <f>IF(H80&lt;='B 2. B 3. '!$G$29,'B 2. B 3. '!$H$29,IF(AND(H80&lt;='B 2. B 3. '!$G$28,H80&gt;'B 2. B 3. '!$G$29),0+(('B 2. B 3. '!$H$29-'B 2. B 3. '!$H$28)/('B 2. B 3. '!$G$29-'B 2. B 3. '!$G$28))*(H80-'B 2. B 3. '!$G$28),0))</f>
        <v>120</v>
      </c>
      <c r="J80" s="285"/>
      <c r="K80" s="284">
        <v>7.5</v>
      </c>
      <c r="L80" s="284">
        <f>IF(K80&lt;='B 2. B 3. '!$G$31,'B 2. B 3. '!$H$31,IF(AND(K80&lt;='B 2. B 3. '!$G$30,K80&gt;'B 2. B 3. '!$G$31),0+(('B 2. B 3. '!$H$31-'B 2. B 3. '!$H$30)/('B 2. B 3. '!$G$31-'B 2. B 3. '!$G$30))*(K80-'B 2. B 3. '!$G$30),0))</f>
        <v>135</v>
      </c>
      <c r="M80" s="285"/>
      <c r="N80" s="286"/>
      <c r="O80" s="287">
        <v>6</v>
      </c>
      <c r="P80" s="287">
        <f>IF(O80&lt;='B 2. B 3. '!$L$25,'B 2. B 3. '!$M$25,IF(AND(O80&lt;='B 2. B 3. '!$L$24,O80&gt;'B 2. B 3. '!$L$25),0+(('B 2. B 3. '!$M$25-'B 2. B 3. '!$M$24)/('B 2. B 3. '!$L$25-'B 2. B 3. '!$L$24))*(O80-'B 2. B 3. '!$L$24),0))</f>
        <v>50</v>
      </c>
      <c r="Q80" s="288"/>
      <c r="R80" s="287">
        <v>6</v>
      </c>
      <c r="S80" s="287">
        <f>IF(R80&lt;='B 2. B 3. '!$L$27,'B 2. B 3. '!$M$27,IF(AND(R80&lt;='B 2. B 3. '!$L$26,R80&gt;'B 2. B 3. '!$L$27),0+(('B 2. B 3. '!$M$27-'B 2. B 3. '!$M$26)/('B 2. B 3. '!$L$27-'B 2. B 3. '!$L$26))*(R80-'B 2. B 3. '!$L$26),0))</f>
        <v>45</v>
      </c>
      <c r="T80" s="288"/>
      <c r="U80" s="287">
        <v>6</v>
      </c>
      <c r="V80" s="287">
        <f>IF(U80&lt;='B 2. B 3. '!$L$29,'B 2. B 3. '!$M$29,IF(AND(U80&lt;='B 2. B 3. '!$L$28,U80&gt;'B 2. B 3. '!$L$29),0+(('B 2. B 3. '!$M$29-'B 2. B 3. '!$M$28)/('B 2. B 3. '!$L$29-'B 2. B 3. '!$L$28))*(U80-'B 2. B 3. '!$L$28),0))</f>
        <v>120</v>
      </c>
      <c r="W80" s="288"/>
      <c r="X80" s="287">
        <v>6</v>
      </c>
      <c r="Y80" s="287">
        <f>IF(X80&lt;='B 2. B 3. '!$L$31,'B 2. B 3. '!$M$31,IF(AND(X80&lt;='B 2. B 3. '!$L$30,X80&gt;'B 2. B 3. '!$L$31),0+(('B 2. B 3. '!$M$31-'B 2. B 3. '!$M$30)/('B 2. B 3. '!$L$31-'B 2. B 3. '!$L$30))*(X80-'B 2. B 3. '!$L$30),0))</f>
        <v>135</v>
      </c>
    </row>
    <row r="81" spans="2:25">
      <c r="B81" s="284">
        <v>20</v>
      </c>
      <c r="C81" s="284">
        <f>IF(B81&lt;='B 2. B 3. '!$G$25,'B 2. B 3. '!$H$25,IF(AND(B81&lt;='B 2. B 3. '!$G$24,B81&gt;'B 2. B 3. '!$G$25),0+(('B 2. B 3. '!$H$25-'B 2. B 3. '!$H$24)/('B 2. B 3. '!$G$25-'B 2. B 3. '!$G$24))*(B81-'B 2. B 3. '!$G$24),0))</f>
        <v>50</v>
      </c>
      <c r="D81" s="285"/>
      <c r="E81" s="284">
        <v>20</v>
      </c>
      <c r="F81" s="284">
        <f>IF(E81&lt;='B 2. B 3. '!$G$27,'B 2. B 3. '!$H$27,IF(AND(E81&lt;='B 2. B 3. '!$G$26,E81&gt;'B 2. B 3. '!$G$27),0+(('B 2. B 3. '!$H$27-'B 2. B 3. '!$H$26)/('B 2. B 3. '!$G$27-'B 2. B 3. '!$G$26))*(E81-'B 2. B 3. '!$G$26),0))</f>
        <v>45</v>
      </c>
      <c r="G81" s="285"/>
      <c r="H81" s="284">
        <v>20</v>
      </c>
      <c r="I81" s="284">
        <f>IF(H81&lt;='B 2. B 3. '!$G$29,'B 2. B 3. '!$H$29,IF(AND(H81&lt;='B 2. B 3. '!$G$28,H81&gt;'B 2. B 3. '!$G$29),0+(('B 2. B 3. '!$H$29-'B 2. B 3. '!$H$28)/('B 2. B 3. '!$G$29-'B 2. B 3. '!$G$28))*(H81-'B 2. B 3. '!$G$28),0))</f>
        <v>120</v>
      </c>
      <c r="J81" s="285"/>
      <c r="K81" s="284">
        <v>10</v>
      </c>
      <c r="L81" s="284">
        <f>IF(K81&lt;='B 2. B 3. '!$G$31,'B 2. B 3. '!$H$31,IF(AND(K81&lt;='B 2. B 3. '!$G$30,K81&gt;'B 2. B 3. '!$G$31),0+(('B 2. B 3. '!$H$31-'B 2. B 3. '!$H$30)/('B 2. B 3. '!$G$31-'B 2. B 3. '!$G$30))*(K81-'B 2. B 3. '!$G$30),0))</f>
        <v>135</v>
      </c>
      <c r="M81" s="285"/>
      <c r="N81" s="286"/>
      <c r="O81" s="287">
        <v>8</v>
      </c>
      <c r="P81" s="287">
        <f>IF(O81&lt;='B 2. B 3. '!$L$25,'B 2. B 3. '!$M$25,IF(AND(O81&lt;='B 2. B 3. '!$L$24,O81&gt;'B 2. B 3. '!$L$25),0+(('B 2. B 3. '!$M$25-'B 2. B 3. '!$M$24)/('B 2. B 3. '!$L$25-'B 2. B 3. '!$L$24))*(O81-'B 2. B 3. '!$L$24),0))</f>
        <v>50</v>
      </c>
      <c r="Q81" s="288"/>
      <c r="R81" s="287">
        <v>8</v>
      </c>
      <c r="S81" s="287">
        <f>IF(R81&lt;='B 2. B 3. '!$L$27,'B 2. B 3. '!$M$27,IF(AND(R81&lt;='B 2. B 3. '!$L$26,R81&gt;'B 2. B 3. '!$L$27),0+(('B 2. B 3. '!$M$27-'B 2. B 3. '!$M$26)/('B 2. B 3. '!$L$27-'B 2. B 3. '!$L$26))*(R81-'B 2. B 3. '!$L$26),0))</f>
        <v>45</v>
      </c>
      <c r="T81" s="288"/>
      <c r="U81" s="287">
        <v>8</v>
      </c>
      <c r="V81" s="287">
        <f>IF(U81&lt;='B 2. B 3. '!$L$29,'B 2. B 3. '!$M$29,IF(AND(U81&lt;='B 2. B 3. '!$L$28,U81&gt;'B 2. B 3. '!$L$29),0+(('B 2. B 3. '!$M$29-'B 2. B 3. '!$M$28)/('B 2. B 3. '!$L$29-'B 2. B 3. '!$L$28))*(U81-'B 2. B 3. '!$L$28),0))</f>
        <v>120</v>
      </c>
      <c r="W81" s="288"/>
      <c r="X81" s="287">
        <v>8</v>
      </c>
      <c r="Y81" s="287">
        <f>IF(X81&lt;='B 2. B 3. '!$L$31,'B 2. B 3. '!$M$31,IF(AND(X81&lt;='B 2. B 3. '!$L$30,X81&gt;'B 2. B 3. '!$L$31),0+(('B 2. B 3. '!$M$31-'B 2. B 3. '!$M$30)/('B 2. B 3. '!$L$31-'B 2. B 3. '!$L$30))*(X81-'B 2. B 3. '!$L$30),0))</f>
        <v>135</v>
      </c>
    </row>
    <row r="82" spans="2:25">
      <c r="B82" s="284">
        <v>25</v>
      </c>
      <c r="C82" s="284">
        <f>IF(B82&lt;='B 2. B 3. '!$G$25,'B 2. B 3. '!$H$25,IF(AND(B82&lt;='B 2. B 3. '!$G$24,B82&gt;'B 2. B 3. '!$G$25),0+(('B 2. B 3. '!$H$25-'B 2. B 3. '!$H$24)/('B 2. B 3. '!$G$25-'B 2. B 3. '!$G$24))*(B82-'B 2. B 3. '!$G$24),0))</f>
        <v>50</v>
      </c>
      <c r="D82" s="285"/>
      <c r="E82" s="284">
        <v>25</v>
      </c>
      <c r="F82" s="284">
        <f>IF(E82&lt;='B 2. B 3. '!$G$27,'B 2. B 3. '!$H$27,IF(AND(E82&lt;='B 2. B 3. '!$G$26,E82&gt;'B 2. B 3. '!$G$27),0+(('B 2. B 3. '!$H$27-'B 2. B 3. '!$H$26)/('B 2. B 3. '!$G$27-'B 2. B 3. '!$G$26))*(E82-'B 2. B 3. '!$G$26),0))</f>
        <v>45</v>
      </c>
      <c r="G82" s="285"/>
      <c r="H82" s="284">
        <v>25</v>
      </c>
      <c r="I82" s="284">
        <f>IF(H82&lt;='B 2. B 3. '!$G$29,'B 2. B 3. '!$H$29,IF(AND(H82&lt;='B 2. B 3. '!$G$28,H82&gt;'B 2. B 3. '!$G$29),0+(('B 2. B 3. '!$H$29-'B 2. B 3. '!$H$28)/('B 2. B 3. '!$G$29-'B 2. B 3. '!$G$28))*(H82-'B 2. B 3. '!$G$28),0))</f>
        <v>120</v>
      </c>
      <c r="J82" s="285"/>
      <c r="K82" s="284">
        <v>12.5</v>
      </c>
      <c r="L82" s="284">
        <f>IF(K82&lt;='B 2. B 3. '!$G$31,'B 2. B 3. '!$H$31,IF(AND(K82&lt;='B 2. B 3. '!$G$30,K82&gt;'B 2. B 3. '!$G$31),0+(('B 2. B 3. '!$H$31-'B 2. B 3. '!$H$30)/('B 2. B 3. '!$G$31-'B 2. B 3. '!$G$30))*(K82-'B 2. B 3. '!$G$30),0))</f>
        <v>135</v>
      </c>
      <c r="M82" s="285"/>
      <c r="N82" s="286"/>
      <c r="O82" s="287">
        <v>10</v>
      </c>
      <c r="P82" s="287">
        <f>IF(O82&lt;='B 2. B 3. '!$L$25,'B 2. B 3. '!$M$25,IF(AND(O82&lt;='B 2. B 3. '!$L$24,O82&gt;'B 2. B 3. '!$L$25),0+(('B 2. B 3. '!$M$25-'B 2. B 3. '!$M$24)/('B 2. B 3. '!$L$25-'B 2. B 3. '!$L$24))*(O82-'B 2. B 3. '!$L$24),0))</f>
        <v>50</v>
      </c>
      <c r="Q82" s="288"/>
      <c r="R82" s="287">
        <v>10</v>
      </c>
      <c r="S82" s="287">
        <f>IF(R82&lt;='B 2. B 3. '!$L$27,'B 2. B 3. '!$M$27,IF(AND(R82&lt;='B 2. B 3. '!$L$26,R82&gt;'B 2. B 3. '!$L$27),0+(('B 2. B 3. '!$M$27-'B 2. B 3. '!$M$26)/('B 2. B 3. '!$L$27-'B 2. B 3. '!$L$26))*(R82-'B 2. B 3. '!$L$26),0))</f>
        <v>45</v>
      </c>
      <c r="T82" s="288"/>
      <c r="U82" s="287">
        <v>10</v>
      </c>
      <c r="V82" s="287">
        <f>IF(U82&lt;='B 2. B 3. '!$L$29,'B 2. B 3. '!$M$29,IF(AND(U82&lt;='B 2. B 3. '!$L$28,U82&gt;'B 2. B 3. '!$L$29),0+(('B 2. B 3. '!$M$29-'B 2. B 3. '!$M$28)/('B 2. B 3. '!$L$29-'B 2. B 3. '!$L$28))*(U82-'B 2. B 3. '!$L$28),0))</f>
        <v>120</v>
      </c>
      <c r="W82" s="288"/>
      <c r="X82" s="287">
        <v>10</v>
      </c>
      <c r="Y82" s="287">
        <f>IF(X82&lt;='B 2. B 3. '!$L$31,'B 2. B 3. '!$M$31,IF(AND(X82&lt;='B 2. B 3. '!$L$30,X82&gt;'B 2. B 3. '!$L$31),0+(('B 2. B 3. '!$M$31-'B 2. B 3. '!$M$30)/('B 2. B 3. '!$L$31-'B 2. B 3. '!$L$30))*(X82-'B 2. B 3. '!$L$30),0))</f>
        <v>135</v>
      </c>
    </row>
    <row r="83" spans="2:25">
      <c r="B83" s="284">
        <v>30</v>
      </c>
      <c r="C83" s="284">
        <f>IF(B83&lt;='B 2. B 3. '!$G$25,'B 2. B 3. '!$H$25,IF(AND(B83&lt;='B 2. B 3. '!$G$24,B83&gt;'B 2. B 3. '!$G$25),0+(('B 2. B 3. '!$H$25-'B 2. B 3. '!$H$24)/('B 2. B 3. '!$G$25-'B 2. B 3. '!$G$24))*(B83-'B 2. B 3. '!$G$24),0))</f>
        <v>44.444444444444443</v>
      </c>
      <c r="D83" s="285"/>
      <c r="E83" s="284">
        <v>30</v>
      </c>
      <c r="F83" s="284">
        <f>IF(E83&lt;='B 2. B 3. '!$G$27,'B 2. B 3. '!$H$27,IF(AND(E83&lt;='B 2. B 3. '!$G$26,E83&gt;'B 2. B 3. '!$G$27),0+(('B 2. B 3. '!$H$27-'B 2. B 3. '!$H$26)/('B 2. B 3. '!$G$27-'B 2. B 3. '!$G$26))*(E83-'B 2. B 3. '!$G$26),0))</f>
        <v>40</v>
      </c>
      <c r="G83" s="285"/>
      <c r="H83" s="284">
        <v>30</v>
      </c>
      <c r="I83" s="284">
        <f>IF(H83&lt;='B 2. B 3. '!$G$29,'B 2. B 3. '!$H$29,IF(AND(H83&lt;='B 2. B 3. '!$G$28,H83&gt;'B 2. B 3. '!$G$29),0+(('B 2. B 3. '!$H$29-'B 2. B 3. '!$H$28)/('B 2. B 3. '!$G$29-'B 2. B 3. '!$G$28))*(H83-'B 2. B 3. '!$G$28),0))</f>
        <v>120</v>
      </c>
      <c r="J83" s="285"/>
      <c r="K83" s="284">
        <v>15</v>
      </c>
      <c r="L83" s="284">
        <f>IF(K83&lt;='B 2. B 3. '!$G$31,'B 2. B 3. '!$H$31,IF(AND(K83&lt;='B 2. B 3. '!$G$30,K83&gt;'B 2. B 3. '!$G$31),0+(('B 2. B 3. '!$H$31-'B 2. B 3. '!$H$30)/('B 2. B 3. '!$G$31-'B 2. B 3. '!$G$30))*(K83-'B 2. B 3. '!$G$30),0))</f>
        <v>135</v>
      </c>
      <c r="M83" s="285"/>
      <c r="N83" s="286"/>
      <c r="O83" s="287">
        <v>12</v>
      </c>
      <c r="P83" s="287">
        <f>IF(O83&lt;='B 2. B 3. '!$L$25,'B 2. B 3. '!$M$25,IF(AND(O83&lt;='B 2. B 3. '!$L$24,O83&gt;'B 2. B 3. '!$L$25),0+(('B 2. B 3. '!$M$25-'B 2. B 3. '!$M$24)/('B 2. B 3. '!$L$25-'B 2. B 3. '!$L$24))*(O83-'B 2. B 3. '!$L$24),0))</f>
        <v>50</v>
      </c>
      <c r="Q83" s="288"/>
      <c r="R83" s="287">
        <v>12</v>
      </c>
      <c r="S83" s="287">
        <f>IF(R83&lt;='B 2. B 3. '!$L$27,'B 2. B 3. '!$M$27,IF(AND(R83&lt;='B 2. B 3. '!$L$26,R83&gt;'B 2. B 3. '!$L$27),0+(('B 2. B 3. '!$M$27-'B 2. B 3. '!$M$26)/('B 2. B 3. '!$L$27-'B 2. B 3. '!$L$26))*(R83-'B 2. B 3. '!$L$26),0))</f>
        <v>45</v>
      </c>
      <c r="T83" s="288"/>
      <c r="U83" s="287">
        <v>12</v>
      </c>
      <c r="V83" s="287">
        <f>IF(U83&lt;='B 2. B 3. '!$L$29,'B 2. B 3. '!$M$29,IF(AND(U83&lt;='B 2. B 3. '!$L$28,U83&gt;'B 2. B 3. '!$L$29),0+(('B 2. B 3. '!$M$29-'B 2. B 3. '!$M$28)/('B 2. B 3. '!$L$29-'B 2. B 3. '!$L$28))*(U83-'B 2. B 3. '!$L$28),0))</f>
        <v>120</v>
      </c>
      <c r="W83" s="288"/>
      <c r="X83" s="287">
        <v>12</v>
      </c>
      <c r="Y83" s="287">
        <f>IF(X83&lt;='B 2. B 3. '!$L$31,'B 2. B 3. '!$M$31,IF(AND(X83&lt;='B 2. B 3. '!$L$30,X83&gt;'B 2. B 3. '!$L$31),0+(('B 2. B 3. '!$M$31-'B 2. B 3. '!$M$30)/('B 2. B 3. '!$L$31-'B 2. B 3. '!$L$30))*(X83-'B 2. B 3. '!$L$30),0))</f>
        <v>135</v>
      </c>
    </row>
    <row r="84" spans="2:25">
      <c r="B84" s="284">
        <v>35</v>
      </c>
      <c r="C84" s="284">
        <f>IF(B84&lt;='B 2. B 3. '!$G$25,'B 2. B 3. '!$H$25,IF(AND(B84&lt;='B 2. B 3. '!$G$24,B84&gt;'B 2. B 3. '!$G$25),0+(('B 2. B 3. '!$H$25-'B 2. B 3. '!$H$24)/('B 2. B 3. '!$G$25-'B 2. B 3. '!$G$24))*(B84-'B 2. B 3. '!$G$24),0))</f>
        <v>38.888888888888893</v>
      </c>
      <c r="D84" s="285"/>
      <c r="E84" s="284">
        <v>35</v>
      </c>
      <c r="F84" s="284">
        <f>IF(E84&lt;='B 2. B 3. '!$G$27,'B 2. B 3. '!$H$27,IF(AND(E84&lt;='B 2. B 3. '!$G$26,E84&gt;'B 2. B 3. '!$G$27),0+(('B 2. B 3. '!$H$27-'B 2. B 3. '!$H$26)/('B 2. B 3. '!$G$27-'B 2. B 3. '!$G$26))*(E84-'B 2. B 3. '!$G$26),0))</f>
        <v>35</v>
      </c>
      <c r="G84" s="285"/>
      <c r="H84" s="284">
        <v>35</v>
      </c>
      <c r="I84" s="284">
        <f>IF(H84&lt;='B 2. B 3. '!$G$29,'B 2. B 3. '!$H$29,IF(AND(H84&lt;='B 2. B 3. '!$G$28,H84&gt;'B 2. B 3. '!$G$29),0+(('B 2. B 3. '!$H$29-'B 2. B 3. '!$H$28)/('B 2. B 3. '!$G$29-'B 2. B 3. '!$G$28))*(H84-'B 2. B 3. '!$G$28),0))</f>
        <v>113.33333333333333</v>
      </c>
      <c r="J84" s="285"/>
      <c r="K84" s="284">
        <v>17.5</v>
      </c>
      <c r="L84" s="284">
        <f>IF(K84&lt;='B 2. B 3. '!$G$31,'B 2. B 3. '!$H$31,IF(AND(K84&lt;='B 2. B 3. '!$G$30,K84&gt;'B 2. B 3. '!$G$31),0+(('B 2. B 3. '!$H$31-'B 2. B 3. '!$H$30)/('B 2. B 3. '!$G$31-'B 2. B 3. '!$G$30))*(K84-'B 2. B 3. '!$G$30),0))</f>
        <v>135</v>
      </c>
      <c r="M84" s="285"/>
      <c r="N84" s="286"/>
      <c r="O84" s="287">
        <v>14</v>
      </c>
      <c r="P84" s="287">
        <f>IF(O84&lt;='B 2. B 3. '!$L$25,'B 2. B 3. '!$M$25,IF(AND(O84&lt;='B 2. B 3. '!$L$24,O84&gt;'B 2. B 3. '!$L$25),0+(('B 2. B 3. '!$M$25-'B 2. B 3. '!$M$24)/('B 2. B 3. '!$L$25-'B 2. B 3. '!$L$24))*(O84-'B 2. B 3. '!$L$24),0))</f>
        <v>50</v>
      </c>
      <c r="Q84" s="288"/>
      <c r="R84" s="287">
        <v>14</v>
      </c>
      <c r="S84" s="287">
        <f>IF(R84&lt;='B 2. B 3. '!$L$27,'B 2. B 3. '!$M$27,IF(AND(R84&lt;='B 2. B 3. '!$L$26,R84&gt;'B 2. B 3. '!$L$27),0+(('B 2. B 3. '!$M$27-'B 2. B 3. '!$M$26)/('B 2. B 3. '!$L$27-'B 2. B 3. '!$L$26))*(R84-'B 2. B 3. '!$L$26),0))</f>
        <v>45</v>
      </c>
      <c r="T84" s="288"/>
      <c r="U84" s="287">
        <v>14</v>
      </c>
      <c r="V84" s="287">
        <f>IF(U84&lt;='B 2. B 3. '!$L$29,'B 2. B 3. '!$M$29,IF(AND(U84&lt;='B 2. B 3. '!$L$28,U84&gt;'B 2. B 3. '!$L$29),0+(('B 2. B 3. '!$M$29-'B 2. B 3. '!$M$28)/('B 2. B 3. '!$L$29-'B 2. B 3. '!$L$28))*(U84-'B 2. B 3. '!$L$28),0))</f>
        <v>120</v>
      </c>
      <c r="W84" s="288"/>
      <c r="X84" s="287">
        <v>14</v>
      </c>
      <c r="Y84" s="287">
        <f>IF(X84&lt;='B 2. B 3. '!$L$31,'B 2. B 3. '!$M$31,IF(AND(X84&lt;='B 2. B 3. '!$L$30,X84&gt;'B 2. B 3. '!$L$31),0+(('B 2. B 3. '!$M$31-'B 2. B 3. '!$M$30)/('B 2. B 3. '!$L$31-'B 2. B 3. '!$L$30))*(X84-'B 2. B 3. '!$L$30),0))</f>
        <v>135</v>
      </c>
    </row>
    <row r="85" spans="2:25">
      <c r="B85" s="284">
        <v>40</v>
      </c>
      <c r="C85" s="284">
        <f>IF(B85&lt;='B 2. B 3. '!$G$25,'B 2. B 3. '!$H$25,IF(AND(B85&lt;='B 2. B 3. '!$G$24,B85&gt;'B 2. B 3. '!$G$25),0+(('B 2. B 3. '!$H$25-'B 2. B 3. '!$H$24)/('B 2. B 3. '!$G$25-'B 2. B 3. '!$G$24))*(B85-'B 2. B 3. '!$G$24),0))</f>
        <v>33.333333333333336</v>
      </c>
      <c r="D85" s="285"/>
      <c r="E85" s="284">
        <v>40</v>
      </c>
      <c r="F85" s="284">
        <f>IF(E85&lt;='B 2. B 3. '!$G$27,'B 2. B 3. '!$H$27,IF(AND(E85&lt;='B 2. B 3. '!$G$26,E85&gt;'B 2. B 3. '!$G$27),0+(('B 2. B 3. '!$H$27-'B 2. B 3. '!$H$26)/('B 2. B 3. '!$G$27-'B 2. B 3. '!$G$26))*(E85-'B 2. B 3. '!$G$26),0))</f>
        <v>30</v>
      </c>
      <c r="G85" s="285"/>
      <c r="H85" s="284">
        <v>40</v>
      </c>
      <c r="I85" s="284">
        <f>IF(H85&lt;='B 2. B 3. '!$G$29,'B 2. B 3. '!$H$29,IF(AND(H85&lt;='B 2. B 3. '!$G$28,H85&gt;'B 2. B 3. '!$G$29),0+(('B 2. B 3. '!$H$29-'B 2. B 3. '!$H$28)/('B 2. B 3. '!$G$29-'B 2. B 3. '!$G$28))*(H85-'B 2. B 3. '!$G$28),0))</f>
        <v>106.66666666666666</v>
      </c>
      <c r="J85" s="285"/>
      <c r="K85" s="284">
        <v>20</v>
      </c>
      <c r="L85" s="284">
        <f>IF(K85&lt;='B 2. B 3. '!$G$31,'B 2. B 3. '!$H$31,IF(AND(K85&lt;='B 2. B 3. '!$G$30,K85&gt;'B 2. B 3. '!$G$31),0+(('B 2. B 3. '!$H$31-'B 2. B 3. '!$H$30)/('B 2. B 3. '!$G$31-'B 2. B 3. '!$G$30))*(K85-'B 2. B 3. '!$G$30),0))</f>
        <v>135</v>
      </c>
      <c r="M85" s="285"/>
      <c r="N85" s="286"/>
      <c r="O85" s="287">
        <v>16</v>
      </c>
      <c r="P85" s="287">
        <f>IF(O85&lt;='B 2. B 3. '!$L$25,'B 2. B 3. '!$M$25,IF(AND(O85&lt;='B 2. B 3. '!$L$24,O85&gt;'B 2. B 3. '!$L$25),0+(('B 2. B 3. '!$M$25-'B 2. B 3. '!$M$24)/('B 2. B 3. '!$L$25-'B 2. B 3. '!$L$24))*(O85-'B 2. B 3. '!$L$24),0))</f>
        <v>50</v>
      </c>
      <c r="Q85" s="288"/>
      <c r="R85" s="287">
        <v>16</v>
      </c>
      <c r="S85" s="287">
        <f>IF(R85&lt;='B 2. B 3. '!$L$27,'B 2. B 3. '!$M$27,IF(AND(R85&lt;='B 2. B 3. '!$L$26,R85&gt;'B 2. B 3. '!$L$27),0+(('B 2. B 3. '!$M$27-'B 2. B 3. '!$M$26)/('B 2. B 3. '!$L$27-'B 2. B 3. '!$L$26))*(R85-'B 2. B 3. '!$L$26),0))</f>
        <v>45</v>
      </c>
      <c r="T85" s="288"/>
      <c r="U85" s="287">
        <v>16</v>
      </c>
      <c r="V85" s="287">
        <f>IF(U85&lt;='B 2. B 3. '!$L$29,'B 2. B 3. '!$M$29,IF(AND(U85&lt;='B 2. B 3. '!$L$28,U85&gt;'B 2. B 3. '!$L$29),0+(('B 2. B 3. '!$M$29-'B 2. B 3. '!$M$28)/('B 2. B 3. '!$L$29-'B 2. B 3. '!$L$28))*(U85-'B 2. B 3. '!$L$28),0))</f>
        <v>120</v>
      </c>
      <c r="W85" s="288"/>
      <c r="X85" s="287">
        <v>16</v>
      </c>
      <c r="Y85" s="287">
        <f>IF(X85&lt;='B 2. B 3. '!$L$31,'B 2. B 3. '!$M$31,IF(AND(X85&lt;='B 2. B 3. '!$L$30,X85&gt;'B 2. B 3. '!$L$31),0+(('B 2. B 3. '!$M$31-'B 2. B 3. '!$M$30)/('B 2. B 3. '!$L$31-'B 2. B 3. '!$L$30))*(X85-'B 2. B 3. '!$L$30),0))</f>
        <v>135</v>
      </c>
    </row>
    <row r="86" spans="2:25">
      <c r="B86" s="284">
        <v>45</v>
      </c>
      <c r="C86" s="284">
        <f>IF(B86&lt;='B 2. B 3. '!$G$25,'B 2. B 3. '!$H$25,IF(AND(B86&lt;='B 2. B 3. '!$G$24,B86&gt;'B 2. B 3. '!$G$25),0+(('B 2. B 3. '!$H$25-'B 2. B 3. '!$H$24)/('B 2. B 3. '!$G$25-'B 2. B 3. '!$G$24))*(B86-'B 2. B 3. '!$G$24),0))</f>
        <v>27.777777777777779</v>
      </c>
      <c r="D86" s="285"/>
      <c r="E86" s="284">
        <v>45</v>
      </c>
      <c r="F86" s="284">
        <f>IF(E86&lt;='B 2. B 3. '!$G$27,'B 2. B 3. '!$H$27,IF(AND(E86&lt;='B 2. B 3. '!$G$26,E86&gt;'B 2. B 3. '!$G$27),0+(('B 2. B 3. '!$H$27-'B 2. B 3. '!$H$26)/('B 2. B 3. '!$G$27-'B 2. B 3. '!$G$26))*(E86-'B 2. B 3. '!$G$26),0))</f>
        <v>25</v>
      </c>
      <c r="G86" s="285"/>
      <c r="H86" s="284">
        <v>45</v>
      </c>
      <c r="I86" s="284">
        <f>IF(H86&lt;='B 2. B 3. '!$G$29,'B 2. B 3. '!$H$29,IF(AND(H86&lt;='B 2. B 3. '!$G$28,H86&gt;'B 2. B 3. '!$G$29),0+(('B 2. B 3. '!$H$29-'B 2. B 3. '!$H$28)/('B 2. B 3. '!$G$29-'B 2. B 3. '!$G$28))*(H86-'B 2. B 3. '!$G$28),0))</f>
        <v>100</v>
      </c>
      <c r="J86" s="285"/>
      <c r="K86" s="284">
        <v>22.5</v>
      </c>
      <c r="L86" s="284">
        <f>IF(K86&lt;='B 2. B 3. '!$G$31,'B 2. B 3. '!$H$31,IF(AND(K86&lt;='B 2. B 3. '!$G$30,K86&gt;'B 2. B 3. '!$G$31),0+(('B 2. B 3. '!$H$31-'B 2. B 3. '!$H$30)/('B 2. B 3. '!$G$31-'B 2. B 3. '!$G$30))*(K86-'B 2. B 3. '!$G$30),0))</f>
        <v>135</v>
      </c>
      <c r="M86" s="285"/>
      <c r="N86" s="286"/>
      <c r="O86" s="287">
        <v>18</v>
      </c>
      <c r="P86" s="287">
        <f>IF(O86&lt;='B 2. B 3. '!$L$25,'B 2. B 3. '!$M$25,IF(AND(O86&lt;='B 2. B 3. '!$L$24,O86&gt;'B 2. B 3. '!$L$25),0+(('B 2. B 3. '!$M$25-'B 2. B 3. '!$M$24)/('B 2. B 3. '!$L$25-'B 2. B 3. '!$L$24))*(O86-'B 2. B 3. '!$L$24),0))</f>
        <v>50</v>
      </c>
      <c r="Q86" s="288"/>
      <c r="R86" s="287">
        <v>18</v>
      </c>
      <c r="S86" s="287">
        <f>IF(R86&lt;='B 2. B 3. '!$L$27,'B 2. B 3. '!$M$27,IF(AND(R86&lt;='B 2. B 3. '!$L$26,R86&gt;'B 2. B 3. '!$L$27),0+(('B 2. B 3. '!$M$27-'B 2. B 3. '!$M$26)/('B 2. B 3. '!$L$27-'B 2. B 3. '!$L$26))*(R86-'B 2. B 3. '!$L$26),0))</f>
        <v>45</v>
      </c>
      <c r="T86" s="288"/>
      <c r="U86" s="287">
        <v>18</v>
      </c>
      <c r="V86" s="287">
        <f>IF(U86&lt;='B 2. B 3. '!$L$29,'B 2. B 3. '!$M$29,IF(AND(U86&lt;='B 2. B 3. '!$L$28,U86&gt;'B 2. B 3. '!$L$29),0+(('B 2. B 3. '!$M$29-'B 2. B 3. '!$M$28)/('B 2. B 3. '!$L$29-'B 2. B 3. '!$L$28))*(U86-'B 2. B 3. '!$L$28),0))</f>
        <v>120</v>
      </c>
      <c r="W86" s="288"/>
      <c r="X86" s="287">
        <v>18</v>
      </c>
      <c r="Y86" s="287">
        <f>IF(X86&lt;='B 2. B 3. '!$L$31,'B 2. B 3. '!$M$31,IF(AND(X86&lt;='B 2. B 3. '!$L$30,X86&gt;'B 2. B 3. '!$L$31),0+(('B 2. B 3. '!$M$31-'B 2. B 3. '!$M$30)/('B 2. B 3. '!$L$31-'B 2. B 3. '!$L$30))*(X86-'B 2. B 3. '!$L$30),0))</f>
        <v>135</v>
      </c>
    </row>
    <row r="87" spans="2:25">
      <c r="B87" s="284">
        <v>50</v>
      </c>
      <c r="C87" s="284">
        <f>IF(B87&lt;='B 2. B 3. '!$G$25,'B 2. B 3. '!$H$25,IF(AND(B87&lt;='B 2. B 3. '!$G$24,B87&gt;'B 2. B 3. '!$G$25),0+(('B 2. B 3. '!$H$25-'B 2. B 3. '!$H$24)/('B 2. B 3. '!$G$25-'B 2. B 3. '!$G$24))*(B87-'B 2. B 3. '!$G$24),0))</f>
        <v>22.222222222222221</v>
      </c>
      <c r="D87" s="285"/>
      <c r="E87" s="284">
        <v>50</v>
      </c>
      <c r="F87" s="284">
        <f>IF(E87&lt;='B 2. B 3. '!$G$27,'B 2. B 3. '!$H$27,IF(AND(E87&lt;='B 2. B 3. '!$G$26,E87&gt;'B 2. B 3. '!$G$27),0+(('B 2. B 3. '!$H$27-'B 2. B 3. '!$H$26)/('B 2. B 3. '!$G$27-'B 2. B 3. '!$G$26))*(E87-'B 2. B 3. '!$G$26),0))</f>
        <v>20</v>
      </c>
      <c r="G87" s="285"/>
      <c r="H87" s="284">
        <v>50</v>
      </c>
      <c r="I87" s="284">
        <f>IF(H87&lt;='B 2. B 3. '!$G$29,'B 2. B 3. '!$H$29,IF(AND(H87&lt;='B 2. B 3. '!$G$28,H87&gt;'B 2. B 3. '!$G$29),0+(('B 2. B 3. '!$H$29-'B 2. B 3. '!$H$28)/('B 2. B 3. '!$G$29-'B 2. B 3. '!$G$28))*(H87-'B 2. B 3. '!$G$28),0))</f>
        <v>93.333333333333329</v>
      </c>
      <c r="J87" s="285"/>
      <c r="K87" s="284">
        <v>25</v>
      </c>
      <c r="L87" s="284">
        <f>IF(K87&lt;='B 2. B 3. '!$G$31,'B 2. B 3. '!$H$31,IF(AND(K87&lt;='B 2. B 3. '!$G$30,K87&gt;'B 2. B 3. '!$G$31),0+(('B 2. B 3. '!$H$31-'B 2. B 3. '!$H$30)/('B 2. B 3. '!$G$31-'B 2. B 3. '!$G$30))*(K87-'B 2. B 3. '!$G$30),0))</f>
        <v>135</v>
      </c>
      <c r="M87" s="285"/>
      <c r="N87" s="286"/>
      <c r="O87" s="287">
        <v>20</v>
      </c>
      <c r="P87" s="287">
        <f>IF(O87&lt;='B 2. B 3. '!$L$25,'B 2. B 3. '!$M$25,IF(AND(O87&lt;='B 2. B 3. '!$L$24,O87&gt;'B 2. B 3. '!$L$25),0+(('B 2. B 3. '!$M$25-'B 2. B 3. '!$M$24)/('B 2. B 3. '!$L$25-'B 2. B 3. '!$L$24))*(O87-'B 2. B 3. '!$L$24),0))</f>
        <v>50</v>
      </c>
      <c r="Q87" s="288"/>
      <c r="R87" s="287">
        <v>20</v>
      </c>
      <c r="S87" s="287">
        <f>IF(R87&lt;='B 2. B 3. '!$L$27,'B 2. B 3. '!$M$27,IF(AND(R87&lt;='B 2. B 3. '!$L$26,R87&gt;'B 2. B 3. '!$L$27),0+(('B 2. B 3. '!$M$27-'B 2. B 3. '!$M$26)/('B 2. B 3. '!$L$27-'B 2. B 3. '!$L$26))*(R87-'B 2. B 3. '!$L$26),0))</f>
        <v>45</v>
      </c>
      <c r="T87" s="288"/>
      <c r="U87" s="287">
        <v>20</v>
      </c>
      <c r="V87" s="287">
        <f>IF(U87&lt;='B 2. B 3. '!$L$29,'B 2. B 3. '!$M$29,IF(AND(U87&lt;='B 2. B 3. '!$L$28,U87&gt;'B 2. B 3. '!$L$29),0+(('B 2. B 3. '!$M$29-'B 2. B 3. '!$M$28)/('B 2. B 3. '!$L$29-'B 2. B 3. '!$L$28))*(U87-'B 2. B 3. '!$L$28),0))</f>
        <v>120</v>
      </c>
      <c r="W87" s="288"/>
      <c r="X87" s="287">
        <v>20</v>
      </c>
      <c r="Y87" s="287">
        <f>IF(X87&lt;='B 2. B 3. '!$L$31,'B 2. B 3. '!$M$31,IF(AND(X87&lt;='B 2. B 3. '!$L$30,X87&gt;'B 2. B 3. '!$L$31),0+(('B 2. B 3. '!$M$31-'B 2. B 3. '!$M$30)/('B 2. B 3. '!$L$31-'B 2. B 3. '!$L$30))*(X87-'B 2. B 3. '!$L$30),0))</f>
        <v>135</v>
      </c>
    </row>
    <row r="88" spans="2:25">
      <c r="B88" s="284">
        <v>55</v>
      </c>
      <c r="C88" s="284">
        <f>IF(B88&lt;='B 2. B 3. '!$G$25,'B 2. B 3. '!$H$25,IF(AND(B88&lt;='B 2. B 3. '!$G$24,B88&gt;'B 2. B 3. '!$G$25),0+(('B 2. B 3. '!$H$25-'B 2. B 3. '!$H$24)/('B 2. B 3. '!$G$25-'B 2. B 3. '!$G$24))*(B88-'B 2. B 3. '!$G$24),0))</f>
        <v>16.666666666666668</v>
      </c>
      <c r="D88" s="285"/>
      <c r="E88" s="284">
        <v>55</v>
      </c>
      <c r="F88" s="284">
        <f>IF(E88&lt;='B 2. B 3. '!$G$27,'B 2. B 3. '!$H$27,IF(AND(E88&lt;='B 2. B 3. '!$G$26,E88&gt;'B 2. B 3. '!$G$27),0+(('B 2. B 3. '!$H$27-'B 2. B 3. '!$H$26)/('B 2. B 3. '!$G$27-'B 2. B 3. '!$G$26))*(E88-'B 2. B 3. '!$G$26),0))</f>
        <v>15</v>
      </c>
      <c r="G88" s="285"/>
      <c r="H88" s="284">
        <v>55</v>
      </c>
      <c r="I88" s="284">
        <f>IF(H88&lt;='B 2. B 3. '!$G$29,'B 2. B 3. '!$H$29,IF(AND(H88&lt;='B 2. B 3. '!$G$28,H88&gt;'B 2. B 3. '!$G$29),0+(('B 2. B 3. '!$H$29-'B 2. B 3. '!$H$28)/('B 2. B 3. '!$G$29-'B 2. B 3. '!$G$28))*(H88-'B 2. B 3. '!$G$28),0))</f>
        <v>86.666666666666657</v>
      </c>
      <c r="J88" s="285"/>
      <c r="K88" s="284">
        <v>27.5</v>
      </c>
      <c r="L88" s="284">
        <f>IF(K88&lt;='B 2. B 3. '!$G$31,'B 2. B 3. '!$H$31,IF(AND(K88&lt;='B 2. B 3. '!$G$30,K88&gt;'B 2. B 3. '!$G$31),0+(('B 2. B 3. '!$H$31-'B 2. B 3. '!$H$30)/('B 2. B 3. '!$G$31-'B 2. B 3. '!$G$30))*(K88-'B 2. B 3. '!$G$30),0))</f>
        <v>101.25</v>
      </c>
      <c r="M88" s="285"/>
      <c r="N88" s="286"/>
      <c r="O88" s="287">
        <v>22</v>
      </c>
      <c r="P88" s="287">
        <f>IF(O88&lt;='B 2. B 3. '!$L$25,'B 2. B 3. '!$M$25,IF(AND(O88&lt;='B 2. B 3. '!$L$24,O88&gt;'B 2. B 3. '!$L$25),0+(('B 2. B 3. '!$M$25-'B 2. B 3. '!$M$24)/('B 2. B 3. '!$L$25-'B 2. B 3. '!$L$24))*(O88-'B 2. B 3. '!$L$24),0))</f>
        <v>50</v>
      </c>
      <c r="Q88" s="288"/>
      <c r="R88" s="287">
        <v>22</v>
      </c>
      <c r="S88" s="287">
        <f>IF(R88&lt;='B 2. B 3. '!$L$27,'B 2. B 3. '!$M$27,IF(AND(R88&lt;='B 2. B 3. '!$L$26,R88&gt;'B 2. B 3. '!$L$27),0+(('B 2. B 3. '!$M$27-'B 2. B 3. '!$M$26)/('B 2. B 3. '!$L$27-'B 2. B 3. '!$L$26))*(R88-'B 2. B 3. '!$L$26),0))</f>
        <v>45</v>
      </c>
      <c r="T88" s="288"/>
      <c r="U88" s="287">
        <v>22</v>
      </c>
      <c r="V88" s="287">
        <f>IF(U88&lt;='B 2. B 3. '!$L$29,'B 2. B 3. '!$M$29,IF(AND(U88&lt;='B 2. B 3. '!$L$28,U88&gt;'B 2. B 3. '!$L$29),0+(('B 2. B 3. '!$M$29-'B 2. B 3. '!$M$28)/('B 2. B 3. '!$L$29-'B 2. B 3. '!$L$28))*(U88-'B 2. B 3. '!$L$28),0))</f>
        <v>120</v>
      </c>
      <c r="W88" s="288"/>
      <c r="X88" s="287">
        <v>22</v>
      </c>
      <c r="Y88" s="287">
        <f>IF(X88&lt;='B 2. B 3. '!$L$31,'B 2. B 3. '!$M$31,IF(AND(X88&lt;='B 2. B 3. '!$L$30,X88&gt;'B 2. B 3. '!$L$31),0+(('B 2. B 3. '!$M$31-'B 2. B 3. '!$M$30)/('B 2. B 3. '!$L$31-'B 2. B 3. '!$L$30))*(X88-'B 2. B 3. '!$L$30),0))</f>
        <v>135</v>
      </c>
    </row>
    <row r="89" spans="2:25">
      <c r="B89" s="284">
        <v>60</v>
      </c>
      <c r="C89" s="284">
        <f>IF(B89&lt;='B 2. B 3. '!$G$25,'B 2. B 3. '!$H$25,IF(AND(B89&lt;='B 2. B 3. '!$G$24,B89&gt;'B 2. B 3. '!$G$25),0+(('B 2. B 3. '!$H$25-'B 2. B 3. '!$H$24)/('B 2. B 3. '!$G$25-'B 2. B 3. '!$G$24))*(B89-'B 2. B 3. '!$G$24),0))</f>
        <v>11.111111111111111</v>
      </c>
      <c r="D89" s="285"/>
      <c r="E89" s="284">
        <v>60</v>
      </c>
      <c r="F89" s="284">
        <f>IF(E89&lt;='B 2. B 3. '!$G$27,'B 2. B 3. '!$H$27,IF(AND(E89&lt;='B 2. B 3. '!$G$26,E89&gt;'B 2. B 3. '!$G$27),0+(('B 2. B 3. '!$H$27-'B 2. B 3. '!$H$26)/('B 2. B 3. '!$G$27-'B 2. B 3. '!$G$26))*(E89-'B 2. B 3. '!$G$26),0))</f>
        <v>10</v>
      </c>
      <c r="G89" s="285"/>
      <c r="H89" s="284">
        <v>60</v>
      </c>
      <c r="I89" s="284">
        <f>IF(H89&lt;='B 2. B 3. '!$G$29,'B 2. B 3. '!$H$29,IF(AND(H89&lt;='B 2. B 3. '!$G$28,H89&gt;'B 2. B 3. '!$G$29),0+(('B 2. B 3. '!$H$29-'B 2. B 3. '!$H$28)/('B 2. B 3. '!$G$29-'B 2. B 3. '!$G$28))*(H89-'B 2. B 3. '!$G$28),0))</f>
        <v>80</v>
      </c>
      <c r="J89" s="285"/>
      <c r="K89" s="284">
        <v>30</v>
      </c>
      <c r="L89" s="284">
        <f>IF(K89&lt;='B 2. B 3. '!$G$31,'B 2. B 3. '!$H$31,IF(AND(K89&lt;='B 2. B 3. '!$G$30,K89&gt;'B 2. B 3. '!$G$31),0+(('B 2. B 3. '!$H$31-'B 2. B 3. '!$H$30)/('B 2. B 3. '!$G$31-'B 2. B 3. '!$G$30))*(K89-'B 2. B 3. '!$G$30),0))</f>
        <v>67.5</v>
      </c>
      <c r="M89" s="285"/>
      <c r="N89" s="286"/>
      <c r="O89" s="287">
        <v>24</v>
      </c>
      <c r="P89" s="287">
        <f>IF(O89&lt;='B 2. B 3. '!$L$25,'B 2. B 3. '!$M$25,IF(AND(O89&lt;='B 2. B 3. '!$L$24,O89&gt;'B 2. B 3. '!$L$25),0+(('B 2. B 3. '!$M$25-'B 2. B 3. '!$M$24)/('B 2. B 3. '!$L$25-'B 2. B 3. '!$L$24))*(O89-'B 2. B 3. '!$L$24),0))</f>
        <v>50</v>
      </c>
      <c r="Q89" s="288"/>
      <c r="R89" s="287">
        <v>24</v>
      </c>
      <c r="S89" s="287">
        <f>IF(R89&lt;='B 2. B 3. '!$L$27,'B 2. B 3. '!$M$27,IF(AND(R89&lt;='B 2. B 3. '!$L$26,R89&gt;'B 2. B 3. '!$L$27),0+(('B 2. B 3. '!$M$27-'B 2. B 3. '!$M$26)/('B 2. B 3. '!$L$27-'B 2. B 3. '!$L$26))*(R89-'B 2. B 3. '!$L$26),0))</f>
        <v>45</v>
      </c>
      <c r="T89" s="288"/>
      <c r="U89" s="287">
        <v>24</v>
      </c>
      <c r="V89" s="287">
        <f>IF(U89&lt;='B 2. B 3. '!$L$29,'B 2. B 3. '!$M$29,IF(AND(U89&lt;='B 2. B 3. '!$L$28,U89&gt;'B 2. B 3. '!$L$29),0+(('B 2. B 3. '!$M$29-'B 2. B 3. '!$M$28)/('B 2. B 3. '!$L$29-'B 2. B 3. '!$L$28))*(U89-'B 2. B 3. '!$L$28),0))</f>
        <v>120</v>
      </c>
      <c r="W89" s="288"/>
      <c r="X89" s="287">
        <v>24</v>
      </c>
      <c r="Y89" s="287">
        <f>IF(X89&lt;='B 2. B 3. '!$L$31,'B 2. B 3. '!$M$31,IF(AND(X89&lt;='B 2. B 3. '!$L$30,X89&gt;'B 2. B 3. '!$L$31),0+(('B 2. B 3. '!$M$31-'B 2. B 3. '!$M$30)/('B 2. B 3. '!$L$31-'B 2. B 3. '!$L$30))*(X89-'B 2. B 3. '!$L$30),0))</f>
        <v>135</v>
      </c>
    </row>
    <row r="90" spans="2:25">
      <c r="B90" s="284">
        <v>65</v>
      </c>
      <c r="C90" s="284">
        <f>IF(B90&lt;='B 2. B 3. '!$G$25,'B 2. B 3. '!$H$25,IF(AND(B90&lt;='B 2. B 3. '!$G$24,B90&gt;'B 2. B 3. '!$G$25),0+(('B 2. B 3. '!$H$25-'B 2. B 3. '!$H$24)/('B 2. B 3. '!$G$25-'B 2. B 3. '!$G$24))*(B90-'B 2. B 3. '!$G$24),0))</f>
        <v>5.5555555555555554</v>
      </c>
      <c r="D90" s="285"/>
      <c r="E90" s="284">
        <v>65</v>
      </c>
      <c r="F90" s="284">
        <f>IF(E90&lt;='B 2. B 3. '!$G$27,'B 2. B 3. '!$H$27,IF(AND(E90&lt;='B 2. B 3. '!$G$26,E90&gt;'B 2. B 3. '!$G$27),0+(('B 2. B 3. '!$H$27-'B 2. B 3. '!$H$26)/('B 2. B 3. '!$G$27-'B 2. B 3. '!$G$26))*(E90-'B 2. B 3. '!$G$26),0))</f>
        <v>5</v>
      </c>
      <c r="G90" s="285"/>
      <c r="H90" s="284">
        <v>65</v>
      </c>
      <c r="I90" s="284">
        <f>IF(H90&lt;='B 2. B 3. '!$G$29,'B 2. B 3. '!$H$29,IF(AND(H90&lt;='B 2. B 3. '!$G$28,H90&gt;'B 2. B 3. '!$G$29),0+(('B 2. B 3. '!$H$29-'B 2. B 3. '!$H$28)/('B 2. B 3. '!$G$29-'B 2. B 3. '!$G$28))*(H90-'B 2. B 3. '!$G$28),0))</f>
        <v>73.333333333333329</v>
      </c>
      <c r="J90" s="285"/>
      <c r="K90" s="284">
        <v>32.5</v>
      </c>
      <c r="L90" s="284">
        <f>IF(K90&lt;='B 2. B 3. '!$G$31,'B 2. B 3. '!$H$31,IF(AND(K90&lt;='B 2. B 3. '!$G$30,K90&gt;'B 2. B 3. '!$G$31),0+(('B 2. B 3. '!$H$31-'B 2. B 3. '!$H$30)/('B 2. B 3. '!$G$31-'B 2. B 3. '!$G$30))*(K90-'B 2. B 3. '!$G$30),0))</f>
        <v>33.75</v>
      </c>
      <c r="M90" s="285"/>
      <c r="N90" s="286"/>
      <c r="O90" s="287">
        <v>26</v>
      </c>
      <c r="P90" s="287">
        <f>IF(O90&lt;='B 2. B 3. '!$L$25,'B 2. B 3. '!$M$25,IF(AND(O90&lt;='B 2. B 3. '!$L$24,O90&gt;'B 2. B 3. '!$L$25),0+(('B 2. B 3. '!$M$25-'B 2. B 3. '!$M$24)/('B 2. B 3. '!$L$25-'B 2. B 3. '!$L$24))*(O90-'B 2. B 3. '!$L$24),0))</f>
        <v>50</v>
      </c>
      <c r="Q90" s="288"/>
      <c r="R90" s="287">
        <v>26</v>
      </c>
      <c r="S90" s="287">
        <f>IF(R90&lt;='B 2. B 3. '!$L$27,'B 2. B 3. '!$M$27,IF(AND(R90&lt;='B 2. B 3. '!$L$26,R90&gt;'B 2. B 3. '!$L$27),0+(('B 2. B 3. '!$M$27-'B 2. B 3. '!$M$26)/('B 2. B 3. '!$L$27-'B 2. B 3. '!$L$26))*(R90-'B 2. B 3. '!$L$26),0))</f>
        <v>45</v>
      </c>
      <c r="T90" s="288"/>
      <c r="U90" s="287">
        <v>26</v>
      </c>
      <c r="V90" s="287">
        <f>IF(U90&lt;='B 2. B 3. '!$L$29,'B 2. B 3. '!$M$29,IF(AND(U90&lt;='B 2. B 3. '!$L$28,U90&gt;'B 2. B 3. '!$L$29),0+(('B 2. B 3. '!$M$29-'B 2. B 3. '!$M$28)/('B 2. B 3. '!$L$29-'B 2. B 3. '!$L$28))*(U90-'B 2. B 3. '!$L$28),0))</f>
        <v>120</v>
      </c>
      <c r="W90" s="288"/>
      <c r="X90" s="287">
        <v>26</v>
      </c>
      <c r="Y90" s="287">
        <f>IF(X90&lt;='B 2. B 3. '!$L$31,'B 2. B 3. '!$M$31,IF(AND(X90&lt;='B 2. B 3. '!$L$30,X90&gt;'B 2. B 3. '!$L$31),0+(('B 2. B 3. '!$M$31-'B 2. B 3. '!$M$30)/('B 2. B 3. '!$L$31-'B 2. B 3. '!$L$30))*(X90-'B 2. B 3. '!$L$30),0))</f>
        <v>135</v>
      </c>
    </row>
    <row r="91" spans="2:25">
      <c r="B91" s="284">
        <v>70</v>
      </c>
      <c r="C91" s="284">
        <f>IF(B91&lt;='B 2. B 3. '!$G$25,'B 2. B 3. '!$H$25,IF(AND(B91&lt;='B 2. B 3. '!$G$24,B91&gt;'B 2. B 3. '!$G$25),0+(('B 2. B 3. '!$H$25-'B 2. B 3. '!$H$24)/('B 2. B 3. '!$G$25-'B 2. B 3. '!$G$24))*(B91-'B 2. B 3. '!$G$24),0))</f>
        <v>0</v>
      </c>
      <c r="D91" s="285"/>
      <c r="E91" s="284">
        <v>70</v>
      </c>
      <c r="F91" s="284">
        <f>IF(E91&lt;='B 2. B 3. '!$G$27,'B 2. B 3. '!$H$27,IF(AND(E91&lt;='B 2. B 3. '!$G$26,E91&gt;'B 2. B 3. '!$G$27),0+(('B 2. B 3. '!$H$27-'B 2. B 3. '!$H$26)/('B 2. B 3. '!$G$27-'B 2. B 3. '!$G$26))*(E91-'B 2. B 3. '!$G$26),0))</f>
        <v>0</v>
      </c>
      <c r="G91" s="285"/>
      <c r="H91" s="284">
        <v>70</v>
      </c>
      <c r="I91" s="284">
        <f>IF(H91&lt;='B 2. B 3. '!$G$29,'B 2. B 3. '!$H$29,IF(AND(H91&lt;='B 2. B 3. '!$G$28,H91&gt;'B 2. B 3. '!$G$29),0+(('B 2. B 3. '!$H$29-'B 2. B 3. '!$H$28)/('B 2. B 3. '!$G$29-'B 2. B 3. '!$G$28))*(H91-'B 2. B 3. '!$G$28),0))</f>
        <v>66.666666666666657</v>
      </c>
      <c r="J91" s="285"/>
      <c r="K91" s="284">
        <v>35</v>
      </c>
      <c r="L91" s="284">
        <f>IF(K91&lt;='B 2. B 3. '!$G$31,'B 2. B 3. '!$H$31,IF(AND(K91&lt;='B 2. B 3. '!$G$30,K91&gt;'B 2. B 3. '!$G$31),0+(('B 2. B 3. '!$H$31-'B 2. B 3. '!$H$30)/('B 2. B 3. '!$G$31-'B 2. B 3. '!$G$30))*(K91-'B 2. B 3. '!$G$30),0))</f>
        <v>0</v>
      </c>
      <c r="M91" s="285"/>
      <c r="N91" s="286"/>
      <c r="O91" s="287">
        <v>28</v>
      </c>
      <c r="P91" s="287">
        <f>IF(O91&lt;='B 2. B 3. '!$L$25,'B 2. B 3. '!$M$25,IF(AND(O91&lt;='B 2. B 3. '!$L$24,O91&gt;'B 2. B 3. '!$L$25),0+(('B 2. B 3. '!$M$25-'B 2. B 3. '!$M$24)/('B 2. B 3. '!$L$25-'B 2. B 3. '!$L$24))*(O91-'B 2. B 3. '!$L$24),0))</f>
        <v>50</v>
      </c>
      <c r="Q91" s="288"/>
      <c r="R91" s="287">
        <v>28</v>
      </c>
      <c r="S91" s="287">
        <f>IF(R91&lt;='B 2. B 3. '!$L$27,'B 2. B 3. '!$M$27,IF(AND(R91&lt;='B 2. B 3. '!$L$26,R91&gt;'B 2. B 3. '!$L$27),0+(('B 2. B 3. '!$M$27-'B 2. B 3. '!$M$26)/('B 2. B 3. '!$L$27-'B 2. B 3. '!$L$26))*(R91-'B 2. B 3. '!$L$26),0))</f>
        <v>45</v>
      </c>
      <c r="T91" s="288"/>
      <c r="U91" s="287">
        <v>28</v>
      </c>
      <c r="V91" s="287">
        <f>IF(U91&lt;='B 2. B 3. '!$L$29,'B 2. B 3. '!$M$29,IF(AND(U91&lt;='B 2. B 3. '!$L$28,U91&gt;'B 2. B 3. '!$L$29),0+(('B 2. B 3. '!$M$29-'B 2. B 3. '!$M$28)/('B 2. B 3. '!$L$29-'B 2. B 3. '!$L$28))*(U91-'B 2. B 3. '!$L$28),0))</f>
        <v>120</v>
      </c>
      <c r="W91" s="288"/>
      <c r="X91" s="287">
        <v>28</v>
      </c>
      <c r="Y91" s="287">
        <f>IF(X91&lt;='B 2. B 3. '!$L$31,'B 2. B 3. '!$M$31,IF(AND(X91&lt;='B 2. B 3. '!$L$30,X91&gt;'B 2. B 3. '!$L$31),0+(('B 2. B 3. '!$M$31-'B 2. B 3. '!$M$30)/('B 2. B 3. '!$L$31-'B 2. B 3. '!$L$30))*(X91-'B 2. B 3. '!$L$30),0))</f>
        <v>135</v>
      </c>
    </row>
    <row r="92" spans="2:25">
      <c r="B92" s="284">
        <v>75</v>
      </c>
      <c r="C92" s="284">
        <f>IF(B92&lt;='B 2. B 3. '!$G$25,'B 2. B 3. '!$H$25,IF(AND(B92&lt;='B 2. B 3. '!$G$24,B92&gt;'B 2. B 3. '!$G$25),0+(('B 2. B 3. '!$H$25-'B 2. B 3. '!$H$24)/('B 2. B 3. '!$G$25-'B 2. B 3. '!$G$24))*(B92-'B 2. B 3. '!$G$24),0))</f>
        <v>0</v>
      </c>
      <c r="D92" s="285"/>
      <c r="E92" s="284">
        <v>75</v>
      </c>
      <c r="F92" s="284">
        <f>IF(E92&lt;='B 2. B 3. '!$G$27,'B 2. B 3. '!$H$27,IF(AND(E92&lt;='B 2. B 3. '!$G$26,E92&gt;'B 2. B 3. '!$G$27),0+(('B 2. B 3. '!$H$27-'B 2. B 3. '!$H$26)/('B 2. B 3. '!$G$27-'B 2. B 3. '!$G$26))*(E92-'B 2. B 3. '!$G$26),0))</f>
        <v>0</v>
      </c>
      <c r="G92" s="285"/>
      <c r="H92" s="284">
        <v>75</v>
      </c>
      <c r="I92" s="284">
        <f>IF(H92&lt;='B 2. B 3. '!$G$29,'B 2. B 3. '!$H$29,IF(AND(H92&lt;='B 2. B 3. '!$G$28,H92&gt;'B 2. B 3. '!$G$29),0+(('B 2. B 3. '!$H$29-'B 2. B 3. '!$H$28)/('B 2. B 3. '!$G$29-'B 2. B 3. '!$G$28))*(H92-'B 2. B 3. '!$G$28),0))</f>
        <v>60</v>
      </c>
      <c r="J92" s="285"/>
      <c r="K92" s="284">
        <v>37.5</v>
      </c>
      <c r="L92" s="284">
        <f>IF(K92&lt;='B 2. B 3. '!$G$31,'B 2. B 3. '!$H$31,IF(AND(K92&lt;='B 2. B 3. '!$G$30,K92&gt;'B 2. B 3. '!$G$31),0+(('B 2. B 3. '!$H$31-'B 2. B 3. '!$H$30)/('B 2. B 3. '!$G$31-'B 2. B 3. '!$G$30))*(K92-'B 2. B 3. '!$G$30),0))</f>
        <v>0</v>
      </c>
      <c r="M92" s="285"/>
      <c r="N92" s="286"/>
      <c r="O92" s="287">
        <v>30</v>
      </c>
      <c r="P92" s="287">
        <f>IF(O92&lt;='B 2. B 3. '!$L$25,'B 2. B 3. '!$M$25,IF(AND(O92&lt;='B 2. B 3. '!$L$24,O92&gt;'B 2. B 3. '!$L$25),0+(('B 2. B 3. '!$M$25-'B 2. B 3. '!$M$24)/('B 2. B 3. '!$L$25-'B 2. B 3. '!$L$24))*(O92-'B 2. B 3. '!$L$24),0))</f>
        <v>50</v>
      </c>
      <c r="Q92" s="288"/>
      <c r="R92" s="287">
        <v>30</v>
      </c>
      <c r="S92" s="287">
        <f>IF(R92&lt;='B 2. B 3. '!$L$27,'B 2. B 3. '!$M$27,IF(AND(R92&lt;='B 2. B 3. '!$L$26,R92&gt;'B 2. B 3. '!$L$27),0+(('B 2. B 3. '!$M$27-'B 2. B 3. '!$M$26)/('B 2. B 3. '!$L$27-'B 2. B 3. '!$L$26))*(R92-'B 2. B 3. '!$L$26),0))</f>
        <v>45</v>
      </c>
      <c r="T92" s="288"/>
      <c r="U92" s="287">
        <v>30</v>
      </c>
      <c r="V92" s="287">
        <f>IF(U92&lt;='B 2. B 3. '!$L$29,'B 2. B 3. '!$M$29,IF(AND(U92&lt;='B 2. B 3. '!$L$28,U92&gt;'B 2. B 3. '!$L$29),0+(('B 2. B 3. '!$M$29-'B 2. B 3. '!$M$28)/('B 2. B 3. '!$L$29-'B 2. B 3. '!$L$28))*(U92-'B 2. B 3. '!$L$28),0))</f>
        <v>120</v>
      </c>
      <c r="W92" s="288"/>
      <c r="X92" s="287">
        <v>30</v>
      </c>
      <c r="Y92" s="287">
        <f>IF(X92&lt;='B 2. B 3. '!$L$31,'B 2. B 3. '!$M$31,IF(AND(X92&lt;='B 2. B 3. '!$L$30,X92&gt;'B 2. B 3. '!$L$31),0+(('B 2. B 3. '!$M$31-'B 2. B 3. '!$M$30)/('B 2. B 3. '!$L$31-'B 2. B 3. '!$L$30))*(X92-'B 2. B 3. '!$L$30),0))</f>
        <v>135</v>
      </c>
    </row>
    <row r="93" spans="2:25">
      <c r="B93" s="284">
        <v>80</v>
      </c>
      <c r="C93" s="284">
        <f>IF(B93&lt;='B 2. B 3. '!$G$25,'B 2. B 3. '!$H$25,IF(AND(B93&lt;='B 2. B 3. '!$G$24,B93&gt;'B 2. B 3. '!$G$25),0+(('B 2. B 3. '!$H$25-'B 2. B 3. '!$H$24)/('B 2. B 3. '!$G$25-'B 2. B 3. '!$G$24))*(B93-'B 2. B 3. '!$G$24),0))</f>
        <v>0</v>
      </c>
      <c r="D93" s="285"/>
      <c r="E93" s="284">
        <v>80</v>
      </c>
      <c r="F93" s="284">
        <f>IF(E93&lt;='B 2. B 3. '!$G$27,'B 2. B 3. '!$H$27,IF(AND(E93&lt;='B 2. B 3. '!$G$26,E93&gt;'B 2. B 3. '!$G$27),0+(('B 2. B 3. '!$H$27-'B 2. B 3. '!$H$26)/('B 2. B 3. '!$G$27-'B 2. B 3. '!$G$26))*(E93-'B 2. B 3. '!$G$26),0))</f>
        <v>0</v>
      </c>
      <c r="G93" s="285"/>
      <c r="H93" s="284">
        <v>80</v>
      </c>
      <c r="I93" s="284">
        <f>IF(H93&lt;='B 2. B 3. '!$G$29,'B 2. B 3. '!$H$29,IF(AND(H93&lt;='B 2. B 3. '!$G$28,H93&gt;'B 2. B 3. '!$G$29),0+(('B 2. B 3. '!$H$29-'B 2. B 3. '!$H$28)/('B 2. B 3. '!$G$29-'B 2. B 3. '!$G$28))*(H93-'B 2. B 3. '!$G$28),0))</f>
        <v>53.333333333333329</v>
      </c>
      <c r="J93" s="285"/>
      <c r="K93" s="284">
        <v>40</v>
      </c>
      <c r="L93" s="284">
        <f>IF(K93&lt;='B 2. B 3. '!$G$31,'B 2. B 3. '!$H$31,IF(AND(K93&lt;='B 2. B 3. '!$G$30,K93&gt;'B 2. B 3. '!$G$31),0+(('B 2. B 3. '!$H$31-'B 2. B 3. '!$H$30)/('B 2. B 3. '!$G$31-'B 2. B 3. '!$G$30))*(K93-'B 2. B 3. '!$G$30),0))</f>
        <v>0</v>
      </c>
      <c r="M93" s="285"/>
      <c r="N93" s="286"/>
      <c r="O93" s="287">
        <v>32</v>
      </c>
      <c r="P93" s="287">
        <f>IF(O93&lt;='B 2. B 3. '!$L$25,'B 2. B 3. '!$M$25,IF(AND(O93&lt;='B 2. B 3. '!$L$24,O93&gt;'B 2. B 3. '!$L$25),0+(('B 2. B 3. '!$M$25-'B 2. B 3. '!$M$24)/('B 2. B 3. '!$L$25-'B 2. B 3. '!$L$24))*(O93-'B 2. B 3. '!$L$24),0))</f>
        <v>48.148148148148145</v>
      </c>
      <c r="Q93" s="288"/>
      <c r="R93" s="287">
        <v>32</v>
      </c>
      <c r="S93" s="287">
        <f>IF(R93&lt;='B 2. B 3. '!$L$27,'B 2. B 3. '!$M$27,IF(AND(R93&lt;='B 2. B 3. '!$L$26,R93&gt;'B 2. B 3. '!$L$27),0+(('B 2. B 3. '!$M$27-'B 2. B 3. '!$M$26)/('B 2. B 3. '!$L$27-'B 2. B 3. '!$L$26))*(R93-'B 2. B 3. '!$L$26),0))</f>
        <v>43.333333333333336</v>
      </c>
      <c r="T93" s="288"/>
      <c r="U93" s="287">
        <v>32</v>
      </c>
      <c r="V93" s="287">
        <f>IF(U93&lt;='B 2. B 3. '!$L$29,'B 2. B 3. '!$M$29,IF(AND(U93&lt;='B 2. B 3. '!$L$28,U93&gt;'B 2. B 3. '!$L$29),0+(('B 2. B 3. '!$M$29-'B 2. B 3. '!$M$28)/('B 2. B 3. '!$L$29-'B 2. B 3. '!$L$28))*(U93-'B 2. B 3. '!$L$28),0))</f>
        <v>120</v>
      </c>
      <c r="W93" s="288"/>
      <c r="X93" s="287">
        <v>32</v>
      </c>
      <c r="Y93" s="287">
        <f>IF(X93&lt;='B 2. B 3. '!$L$31,'B 2. B 3. '!$M$31,IF(AND(X93&lt;='B 2. B 3. '!$L$30,X93&gt;'B 2. B 3. '!$L$31),0+(('B 2. B 3. '!$M$31-'B 2. B 3. '!$M$30)/('B 2. B 3. '!$L$31-'B 2. B 3. '!$L$30))*(X93-'B 2. B 3. '!$L$30),0))</f>
        <v>112.5</v>
      </c>
    </row>
    <row r="94" spans="2:25">
      <c r="B94" s="284">
        <v>85</v>
      </c>
      <c r="C94" s="284">
        <f>IF(B94&lt;='B 2. B 3. '!$G$25,'B 2. B 3. '!$H$25,IF(AND(B94&lt;='B 2. B 3. '!$G$24,B94&gt;'B 2. B 3. '!$G$25),0+(('B 2. B 3. '!$H$25-'B 2. B 3. '!$H$24)/('B 2. B 3. '!$G$25-'B 2. B 3. '!$G$24))*(B94-'B 2. B 3. '!$G$24),0))</f>
        <v>0</v>
      </c>
      <c r="D94" s="285"/>
      <c r="E94" s="284">
        <v>85</v>
      </c>
      <c r="F94" s="284">
        <f>IF(E94&lt;='B 2. B 3. '!$G$27,'B 2. B 3. '!$H$27,IF(AND(E94&lt;='B 2. B 3. '!$G$26,E94&gt;'B 2. B 3. '!$G$27),0+(('B 2. B 3. '!$H$27-'B 2. B 3. '!$H$26)/('B 2. B 3. '!$G$27-'B 2. B 3. '!$G$26))*(E94-'B 2. B 3. '!$G$26),0))</f>
        <v>0</v>
      </c>
      <c r="G94" s="285"/>
      <c r="H94" s="284">
        <v>85</v>
      </c>
      <c r="I94" s="284">
        <f>IF(H94&lt;='B 2. B 3. '!$G$29,'B 2. B 3. '!$H$29,IF(AND(H94&lt;='B 2. B 3. '!$G$28,H94&gt;'B 2. B 3. '!$G$29),0+(('B 2. B 3. '!$H$29-'B 2. B 3. '!$H$28)/('B 2. B 3. '!$G$29-'B 2. B 3. '!$G$28))*(H94-'B 2. B 3. '!$G$28),0))</f>
        <v>46.666666666666664</v>
      </c>
      <c r="J94" s="285"/>
      <c r="K94" s="284">
        <v>42.5</v>
      </c>
      <c r="L94" s="284">
        <f>IF(K94&lt;='B 2. B 3. '!$G$31,'B 2. B 3. '!$H$31,IF(AND(K94&lt;='B 2. B 3. '!$G$30,K94&gt;'B 2. B 3. '!$G$31),0+(('B 2. B 3. '!$H$31-'B 2. B 3. '!$H$30)/('B 2. B 3. '!$G$31-'B 2. B 3. '!$G$30))*(K94-'B 2. B 3. '!$G$30),0))</f>
        <v>0</v>
      </c>
      <c r="M94" s="285"/>
      <c r="N94" s="286"/>
      <c r="O94" s="287">
        <v>34</v>
      </c>
      <c r="P94" s="287">
        <f>IF(O94&lt;='B 2. B 3. '!$L$25,'B 2. B 3. '!$M$25,IF(AND(O94&lt;='B 2. B 3. '!$L$24,O94&gt;'B 2. B 3. '!$L$25),0+(('B 2. B 3. '!$M$25-'B 2. B 3. '!$M$24)/('B 2. B 3. '!$L$25-'B 2. B 3. '!$L$24))*(O94-'B 2. B 3. '!$L$24),0))</f>
        <v>46.296296296296298</v>
      </c>
      <c r="Q94" s="288"/>
      <c r="R94" s="287">
        <v>34</v>
      </c>
      <c r="S94" s="287">
        <f>IF(R94&lt;='B 2. B 3. '!$L$27,'B 2. B 3. '!$M$27,IF(AND(R94&lt;='B 2. B 3. '!$L$26,R94&gt;'B 2. B 3. '!$L$27),0+(('B 2. B 3. '!$M$27-'B 2. B 3. '!$M$26)/('B 2. B 3. '!$L$27-'B 2. B 3. '!$L$26))*(R94-'B 2. B 3. '!$L$26),0))</f>
        <v>41.666666666666671</v>
      </c>
      <c r="T94" s="288"/>
      <c r="U94" s="287">
        <v>34</v>
      </c>
      <c r="V94" s="287">
        <f>IF(U94&lt;='B 2. B 3. '!$L$29,'B 2. B 3. '!$M$29,IF(AND(U94&lt;='B 2. B 3. '!$L$28,U94&gt;'B 2. B 3. '!$L$29),0+(('B 2. B 3. '!$M$29-'B 2. B 3. '!$M$28)/('B 2. B 3. '!$L$29-'B 2. B 3. '!$L$28))*(U94-'B 2. B 3. '!$L$28),0))</f>
        <v>120</v>
      </c>
      <c r="W94" s="288"/>
      <c r="X94" s="287">
        <v>34</v>
      </c>
      <c r="Y94" s="287">
        <f>IF(X94&lt;='B 2. B 3. '!$L$31,'B 2. B 3. '!$M$31,IF(AND(X94&lt;='B 2. B 3. '!$L$30,X94&gt;'B 2. B 3. '!$L$31),0+(('B 2. B 3. '!$M$31-'B 2. B 3. '!$M$30)/('B 2. B 3. '!$L$31-'B 2. B 3. '!$L$30))*(X94-'B 2. B 3. '!$L$30),0))</f>
        <v>90</v>
      </c>
    </row>
    <row r="95" spans="2:25">
      <c r="B95" s="284">
        <v>90</v>
      </c>
      <c r="C95" s="284">
        <f>IF(B95&lt;='B 2. B 3. '!$G$25,'B 2. B 3. '!$H$25,IF(AND(B95&lt;='B 2. B 3. '!$G$24,B95&gt;'B 2. B 3. '!$G$25),0+(('B 2. B 3. '!$H$25-'B 2. B 3. '!$H$24)/('B 2. B 3. '!$G$25-'B 2. B 3. '!$G$24))*(B95-'B 2. B 3. '!$G$24),0))</f>
        <v>0</v>
      </c>
      <c r="D95" s="285"/>
      <c r="E95" s="284">
        <v>90</v>
      </c>
      <c r="F95" s="284">
        <f>IF(E95&lt;='B 2. B 3. '!$G$27,'B 2. B 3. '!$H$27,IF(AND(E95&lt;='B 2. B 3. '!$G$26,E95&gt;'B 2. B 3. '!$G$27),0+(('B 2. B 3. '!$H$27-'B 2. B 3. '!$H$26)/('B 2. B 3. '!$G$27-'B 2. B 3. '!$G$26))*(E95-'B 2. B 3. '!$G$26),0))</f>
        <v>0</v>
      </c>
      <c r="G95" s="285"/>
      <c r="H95" s="284">
        <v>90</v>
      </c>
      <c r="I95" s="284">
        <f>IF(H95&lt;='B 2. B 3. '!$G$29,'B 2. B 3. '!$H$29,IF(AND(H95&lt;='B 2. B 3. '!$G$28,H95&gt;'B 2. B 3. '!$G$29),0+(('B 2. B 3. '!$H$29-'B 2. B 3. '!$H$28)/('B 2. B 3. '!$G$29-'B 2. B 3. '!$G$28))*(H95-'B 2. B 3. '!$G$28),0))</f>
        <v>40</v>
      </c>
      <c r="J95" s="285"/>
      <c r="K95" s="284">
        <v>45</v>
      </c>
      <c r="L95" s="284">
        <f>IF(K95&lt;='B 2. B 3. '!$G$31,'B 2. B 3. '!$H$31,IF(AND(K95&lt;='B 2. B 3. '!$G$30,K95&gt;'B 2. B 3. '!$G$31),0+(('B 2. B 3. '!$H$31-'B 2. B 3. '!$H$30)/('B 2. B 3. '!$G$31-'B 2. B 3. '!$G$30))*(K95-'B 2. B 3. '!$G$30),0))</f>
        <v>0</v>
      </c>
      <c r="M95" s="285"/>
      <c r="N95" s="286"/>
      <c r="O95" s="287">
        <v>36</v>
      </c>
      <c r="P95" s="287">
        <f>IF(O95&lt;='B 2. B 3. '!$L$25,'B 2. B 3. '!$M$25,IF(AND(O95&lt;='B 2. B 3. '!$L$24,O95&gt;'B 2. B 3. '!$L$25),0+(('B 2. B 3. '!$M$25-'B 2. B 3. '!$M$24)/('B 2. B 3. '!$L$25-'B 2. B 3. '!$L$24))*(O95-'B 2. B 3. '!$L$24),0))</f>
        <v>44.444444444444443</v>
      </c>
      <c r="Q95" s="288"/>
      <c r="R95" s="287">
        <v>36</v>
      </c>
      <c r="S95" s="287">
        <f>IF(R95&lt;='B 2. B 3. '!$L$27,'B 2. B 3. '!$M$27,IF(AND(R95&lt;='B 2. B 3. '!$L$26,R95&gt;'B 2. B 3. '!$L$27),0+(('B 2. B 3. '!$M$27-'B 2. B 3. '!$M$26)/('B 2. B 3. '!$L$27-'B 2. B 3. '!$L$26))*(R95-'B 2. B 3. '!$L$26),0))</f>
        <v>40</v>
      </c>
      <c r="T95" s="288"/>
      <c r="U95" s="287">
        <v>36</v>
      </c>
      <c r="V95" s="287">
        <f>IF(U95&lt;='B 2. B 3. '!$L$29,'B 2. B 3. '!$M$29,IF(AND(U95&lt;='B 2. B 3. '!$L$28,U95&gt;'B 2. B 3. '!$L$29),0+(('B 2. B 3. '!$M$29-'B 2. B 3. '!$M$28)/('B 2. B 3. '!$L$29-'B 2. B 3. '!$L$28))*(U95-'B 2. B 3. '!$L$28),0))</f>
        <v>120</v>
      </c>
      <c r="W95" s="288"/>
      <c r="X95" s="287">
        <v>36</v>
      </c>
      <c r="Y95" s="287">
        <f>IF(X95&lt;='B 2. B 3. '!$L$31,'B 2. B 3. '!$M$31,IF(AND(X95&lt;='B 2. B 3. '!$L$30,X95&gt;'B 2. B 3. '!$L$31),0+(('B 2. B 3. '!$M$31-'B 2. B 3. '!$M$30)/('B 2. B 3. '!$L$31-'B 2. B 3. '!$L$30))*(X95-'B 2. B 3. '!$L$30),0))</f>
        <v>67.5</v>
      </c>
    </row>
    <row r="96" spans="2:25">
      <c r="B96" s="284">
        <v>95</v>
      </c>
      <c r="C96" s="284">
        <f>IF(B96&lt;='B 2. B 3. '!$G$25,'B 2. B 3. '!$H$25,IF(AND(B96&lt;='B 2. B 3. '!$G$24,B96&gt;'B 2. B 3. '!$G$25),0+(('B 2. B 3. '!$H$25-'B 2. B 3. '!$H$24)/('B 2. B 3. '!$G$25-'B 2. B 3. '!$G$24))*(B96-'B 2. B 3. '!$G$24),0))</f>
        <v>0</v>
      </c>
      <c r="D96" s="285"/>
      <c r="E96" s="284">
        <v>95</v>
      </c>
      <c r="F96" s="284">
        <f>IF(E96&lt;='B 2. B 3. '!$G$27,'B 2. B 3. '!$H$27,IF(AND(E96&lt;='B 2. B 3. '!$G$26,E96&gt;'B 2. B 3. '!$G$27),0+(('B 2. B 3. '!$H$27-'B 2. B 3. '!$H$26)/('B 2. B 3. '!$G$27-'B 2. B 3. '!$G$26))*(E96-'B 2. B 3. '!$G$26),0))</f>
        <v>0</v>
      </c>
      <c r="G96" s="285"/>
      <c r="H96" s="284">
        <v>95</v>
      </c>
      <c r="I96" s="284">
        <f>IF(H96&lt;='B 2. B 3. '!$G$29,'B 2. B 3. '!$H$29,IF(AND(H96&lt;='B 2. B 3. '!$G$28,H96&gt;'B 2. B 3. '!$G$29),0+(('B 2. B 3. '!$H$29-'B 2. B 3. '!$H$28)/('B 2. B 3. '!$G$29-'B 2. B 3. '!$G$28))*(H96-'B 2. B 3. '!$G$28),0))</f>
        <v>33.333333333333329</v>
      </c>
      <c r="J96" s="285"/>
      <c r="K96" s="284">
        <v>47.5</v>
      </c>
      <c r="L96" s="284">
        <f>IF(K96&lt;='B 2. B 3. '!$G$31,'B 2. B 3. '!$H$31,IF(AND(K96&lt;='B 2. B 3. '!$G$30,K96&gt;'B 2. B 3. '!$G$31),0+(('B 2. B 3. '!$H$31-'B 2. B 3. '!$H$30)/('B 2. B 3. '!$G$31-'B 2. B 3. '!$G$30))*(K96-'B 2. B 3. '!$G$30),0))</f>
        <v>0</v>
      </c>
      <c r="M96" s="285"/>
      <c r="N96" s="286"/>
      <c r="O96" s="287">
        <v>38</v>
      </c>
      <c r="P96" s="287">
        <f>IF(O96&lt;='B 2. B 3. '!$L$25,'B 2. B 3. '!$M$25,IF(AND(O96&lt;='B 2. B 3. '!$L$24,O96&gt;'B 2. B 3. '!$L$25),0+(('B 2. B 3. '!$M$25-'B 2. B 3. '!$M$24)/('B 2. B 3. '!$L$25-'B 2. B 3. '!$L$24))*(O96-'B 2. B 3. '!$L$24),0))</f>
        <v>42.592592592592595</v>
      </c>
      <c r="Q96" s="288"/>
      <c r="R96" s="287">
        <v>38</v>
      </c>
      <c r="S96" s="287">
        <f>IF(R96&lt;='B 2. B 3. '!$L$27,'B 2. B 3. '!$M$27,IF(AND(R96&lt;='B 2. B 3. '!$L$26,R96&gt;'B 2. B 3. '!$L$27),0+(('B 2. B 3. '!$M$27-'B 2. B 3. '!$M$26)/('B 2. B 3. '!$L$27-'B 2. B 3. '!$L$26))*(R96-'B 2. B 3. '!$L$26),0))</f>
        <v>38.333333333333336</v>
      </c>
      <c r="T96" s="288"/>
      <c r="U96" s="287">
        <v>38</v>
      </c>
      <c r="V96" s="287">
        <f>IF(U96&lt;='B 2. B 3. '!$L$29,'B 2. B 3. '!$M$29,IF(AND(U96&lt;='B 2. B 3. '!$L$28,U96&gt;'B 2. B 3. '!$L$29),0+(('B 2. B 3. '!$M$29-'B 2. B 3. '!$M$28)/('B 2. B 3. '!$L$29-'B 2. B 3. '!$L$28))*(U96-'B 2. B 3. '!$L$28),0))</f>
        <v>117.77777777777779</v>
      </c>
      <c r="W96" s="288"/>
      <c r="X96" s="287">
        <v>38</v>
      </c>
      <c r="Y96" s="287">
        <f>IF(X96&lt;='B 2. B 3. '!$L$31,'B 2. B 3. '!$M$31,IF(AND(X96&lt;='B 2. B 3. '!$L$30,X96&gt;'B 2. B 3. '!$L$31),0+(('B 2. B 3. '!$M$31-'B 2. B 3. '!$M$30)/('B 2. B 3. '!$L$31-'B 2. B 3. '!$L$30))*(X96-'B 2. B 3. '!$L$30),0))</f>
        <v>45</v>
      </c>
    </row>
    <row r="97" spans="2:25">
      <c r="B97" s="284">
        <v>100</v>
      </c>
      <c r="C97" s="284">
        <f>IF(B97&lt;='B 2. B 3. '!$G$25,'B 2. B 3. '!$H$25,IF(AND(B97&lt;='B 2. B 3. '!$G$24,B97&gt;'B 2. B 3. '!$G$25),0+(('B 2. B 3. '!$H$25-'B 2. B 3. '!$H$24)/('B 2. B 3. '!$G$25-'B 2. B 3. '!$G$24))*(B97-'B 2. B 3. '!$G$24),0))</f>
        <v>0</v>
      </c>
      <c r="D97" s="285"/>
      <c r="E97" s="284">
        <v>100</v>
      </c>
      <c r="F97" s="284">
        <f>IF(E97&lt;='B 2. B 3. '!$G$27,'B 2. B 3. '!$H$27,IF(AND(E97&lt;='B 2. B 3. '!$G$26,E97&gt;'B 2. B 3. '!$G$27),0+(('B 2. B 3. '!$H$27-'B 2. B 3. '!$H$26)/('B 2. B 3. '!$G$27-'B 2. B 3. '!$G$26))*(E97-'B 2. B 3. '!$G$26),0))</f>
        <v>0</v>
      </c>
      <c r="G97" s="285"/>
      <c r="H97" s="284">
        <v>100</v>
      </c>
      <c r="I97" s="284">
        <f>IF(H97&lt;='B 2. B 3. '!$G$29,'B 2. B 3. '!$H$29,IF(AND(H97&lt;='B 2. B 3. '!$G$28,H97&gt;'B 2. B 3. '!$G$29),0+(('B 2. B 3. '!$H$29-'B 2. B 3. '!$H$28)/('B 2. B 3. '!$G$29-'B 2. B 3. '!$G$28))*(H97-'B 2. B 3. '!$G$28),0))</f>
        <v>26.666666666666664</v>
      </c>
      <c r="J97" s="285"/>
      <c r="K97" s="284">
        <v>50</v>
      </c>
      <c r="L97" s="284">
        <f>IF(K97&lt;='B 2. B 3. '!$G$31,'B 2. B 3. '!$H$31,IF(AND(K97&lt;='B 2. B 3. '!$G$30,K97&gt;'B 2. B 3. '!$G$31),0+(('B 2. B 3. '!$H$31-'B 2. B 3. '!$H$30)/('B 2. B 3. '!$G$31-'B 2. B 3. '!$G$30))*(K97-'B 2. B 3. '!$G$30),0))</f>
        <v>0</v>
      </c>
      <c r="M97" s="285"/>
      <c r="N97" s="286"/>
      <c r="O97" s="287">
        <v>40</v>
      </c>
      <c r="P97" s="287">
        <f>IF(O97&lt;='B 2. B 3. '!$L$25,'B 2. B 3. '!$M$25,IF(AND(O97&lt;='B 2. B 3. '!$L$24,O97&gt;'B 2. B 3. '!$L$25),0+(('B 2. B 3. '!$M$25-'B 2. B 3. '!$M$24)/('B 2. B 3. '!$L$25-'B 2. B 3. '!$L$24))*(O97-'B 2. B 3. '!$L$24),0))</f>
        <v>40.74074074074074</v>
      </c>
      <c r="Q97" s="288"/>
      <c r="R97" s="287">
        <v>40</v>
      </c>
      <c r="S97" s="287">
        <f>IF(R97&lt;='B 2. B 3. '!$L$27,'B 2. B 3. '!$M$27,IF(AND(R97&lt;='B 2. B 3. '!$L$26,R97&gt;'B 2. B 3. '!$L$27),0+(('B 2. B 3. '!$M$27-'B 2. B 3. '!$M$26)/('B 2. B 3. '!$L$27-'B 2. B 3. '!$L$26))*(R97-'B 2. B 3. '!$L$26),0))</f>
        <v>36.666666666666671</v>
      </c>
      <c r="T97" s="288"/>
      <c r="U97" s="287">
        <v>40</v>
      </c>
      <c r="V97" s="287">
        <f>IF(U97&lt;='B 2. B 3. '!$L$29,'B 2. B 3. '!$M$29,IF(AND(U97&lt;='B 2. B 3. '!$L$28,U97&gt;'B 2. B 3. '!$L$29),0+(('B 2. B 3. '!$M$29-'B 2. B 3. '!$M$28)/('B 2. B 3. '!$L$29-'B 2. B 3. '!$L$28))*(U97-'B 2. B 3. '!$L$28),0))</f>
        <v>115.55555555555556</v>
      </c>
      <c r="W97" s="288"/>
      <c r="X97" s="287">
        <v>40</v>
      </c>
      <c r="Y97" s="287">
        <f>IF(X97&lt;='B 2. B 3. '!$L$31,'B 2. B 3. '!$M$31,IF(AND(X97&lt;='B 2. B 3. '!$L$30,X97&gt;'B 2. B 3. '!$L$31),0+(('B 2. B 3. '!$M$31-'B 2. B 3. '!$M$30)/('B 2. B 3. '!$L$31-'B 2. B 3. '!$L$30))*(X97-'B 2. B 3. '!$L$30),0))</f>
        <v>22.5</v>
      </c>
    </row>
    <row r="98" spans="2:25">
      <c r="B98" s="284">
        <v>105</v>
      </c>
      <c r="C98" s="284">
        <f>IF(B98&lt;='B 2. B 3. '!$G$25,'B 2. B 3. '!$H$25,IF(AND(B98&lt;='B 2. B 3. '!$G$24,B98&gt;'B 2. B 3. '!$G$25),0+(('B 2. B 3. '!$H$25-'B 2. B 3. '!$H$24)/('B 2. B 3. '!$G$25-'B 2. B 3. '!$G$24))*(B98-'B 2. B 3. '!$G$24),0))</f>
        <v>0</v>
      </c>
      <c r="D98" s="285"/>
      <c r="E98" s="284">
        <v>105</v>
      </c>
      <c r="F98" s="284">
        <f>IF(E98&lt;='B 2. B 3. '!$G$27,'B 2. B 3. '!$H$27,IF(AND(E98&lt;='B 2. B 3. '!$G$26,E98&gt;'B 2. B 3. '!$G$27),0+(('B 2. B 3. '!$H$27-'B 2. B 3. '!$H$26)/('B 2. B 3. '!$G$27-'B 2. B 3. '!$G$26))*(E98-'B 2. B 3. '!$G$26),0))</f>
        <v>0</v>
      </c>
      <c r="G98" s="285"/>
      <c r="H98" s="284">
        <v>105</v>
      </c>
      <c r="I98" s="284">
        <f>IF(H98&lt;='B 2. B 3. '!$G$29,'B 2. B 3. '!$H$29,IF(AND(H98&lt;='B 2. B 3. '!$G$28,H98&gt;'B 2. B 3. '!$G$29),0+(('B 2. B 3. '!$H$29-'B 2. B 3. '!$H$28)/('B 2. B 3. '!$G$29-'B 2. B 3. '!$G$28))*(H98-'B 2. B 3. '!$G$28),0))</f>
        <v>20</v>
      </c>
      <c r="J98" s="285"/>
      <c r="K98" s="284">
        <v>52.5</v>
      </c>
      <c r="L98" s="284">
        <f>IF(K98&lt;='B 2. B 3. '!$G$31,'B 2. B 3. '!$H$31,IF(AND(K98&lt;='B 2. B 3. '!$G$30,K98&gt;'B 2. B 3. '!$G$31),0+(('B 2. B 3. '!$H$31-'B 2. B 3. '!$H$30)/('B 2. B 3. '!$G$31-'B 2. B 3. '!$G$30))*(K98-'B 2. B 3. '!$G$30),0))</f>
        <v>0</v>
      </c>
      <c r="M98" s="285"/>
      <c r="N98" s="286"/>
      <c r="O98" s="287">
        <v>42</v>
      </c>
      <c r="P98" s="287">
        <f>IF(O98&lt;='B 2. B 3. '!$L$25,'B 2. B 3. '!$M$25,IF(AND(O98&lt;='B 2. B 3. '!$L$24,O98&gt;'B 2. B 3. '!$L$25),0+(('B 2. B 3. '!$M$25-'B 2. B 3. '!$M$24)/('B 2. B 3. '!$L$25-'B 2. B 3. '!$L$24))*(O98-'B 2. B 3. '!$L$24),0))</f>
        <v>38.888888888888886</v>
      </c>
      <c r="Q98" s="288"/>
      <c r="R98" s="287">
        <v>42</v>
      </c>
      <c r="S98" s="287">
        <f>IF(R98&lt;='B 2. B 3. '!$L$27,'B 2. B 3. '!$M$27,IF(AND(R98&lt;='B 2. B 3. '!$L$26,R98&gt;'B 2. B 3. '!$L$27),0+(('B 2. B 3. '!$M$27-'B 2. B 3. '!$M$26)/('B 2. B 3. '!$L$27-'B 2. B 3. '!$L$26))*(R98-'B 2. B 3. '!$L$26),0))</f>
        <v>35</v>
      </c>
      <c r="T98" s="288"/>
      <c r="U98" s="287">
        <v>42</v>
      </c>
      <c r="V98" s="287">
        <f>IF(U98&lt;='B 2. B 3. '!$L$29,'B 2. B 3. '!$M$29,IF(AND(U98&lt;='B 2. B 3. '!$L$28,U98&gt;'B 2. B 3. '!$L$29),0+(('B 2. B 3. '!$M$29-'B 2. B 3. '!$M$28)/('B 2. B 3. '!$L$29-'B 2. B 3. '!$L$28))*(U98-'B 2. B 3. '!$L$28),0))</f>
        <v>113.33333333333334</v>
      </c>
      <c r="W98" s="288"/>
      <c r="X98" s="287">
        <v>42</v>
      </c>
      <c r="Y98" s="287">
        <f>IF(X98&lt;='B 2. B 3. '!$L$31,'B 2. B 3. '!$M$31,IF(AND(X98&lt;='B 2. B 3. '!$L$30,X98&gt;'B 2. B 3. '!$L$31),0+(('B 2. B 3. '!$M$31-'B 2. B 3. '!$M$30)/('B 2. B 3. '!$L$31-'B 2. B 3. '!$L$30))*(X98-'B 2. B 3. '!$L$30),0))</f>
        <v>0</v>
      </c>
    </row>
    <row r="99" spans="2:25">
      <c r="B99" s="284">
        <v>110</v>
      </c>
      <c r="C99" s="284">
        <f>IF(B99&lt;='B 2. B 3. '!$G$25,'B 2. B 3. '!$H$25,IF(AND(B99&lt;='B 2. B 3. '!$G$24,B99&gt;'B 2. B 3. '!$G$25),0+(('B 2. B 3. '!$H$25-'B 2. B 3. '!$H$24)/('B 2. B 3. '!$G$25-'B 2. B 3. '!$G$24))*(B99-'B 2. B 3. '!$G$24),0))</f>
        <v>0</v>
      </c>
      <c r="D99" s="285"/>
      <c r="E99" s="284">
        <v>110</v>
      </c>
      <c r="F99" s="284">
        <f>IF(E99&lt;='B 2. B 3. '!$G$27,'B 2. B 3. '!$H$27,IF(AND(E99&lt;='B 2. B 3. '!$G$26,E99&gt;'B 2. B 3. '!$G$27),0+(('B 2. B 3. '!$H$27-'B 2. B 3. '!$H$26)/('B 2. B 3. '!$G$27-'B 2. B 3. '!$G$26))*(E99-'B 2. B 3. '!$G$26),0))</f>
        <v>0</v>
      </c>
      <c r="G99" s="285"/>
      <c r="H99" s="284">
        <v>110</v>
      </c>
      <c r="I99" s="284">
        <f>IF(H99&lt;='B 2. B 3. '!$G$29,'B 2. B 3. '!$H$29,IF(AND(H99&lt;='B 2. B 3. '!$G$28,H99&gt;'B 2. B 3. '!$G$29),0+(('B 2. B 3. '!$H$29-'B 2. B 3. '!$H$28)/('B 2. B 3. '!$G$29-'B 2. B 3. '!$G$28))*(H99-'B 2. B 3. '!$G$28),0))</f>
        <v>13.333333333333332</v>
      </c>
      <c r="J99" s="285"/>
      <c r="K99" s="284">
        <v>55</v>
      </c>
      <c r="L99" s="284">
        <f>IF(K99&lt;='B 2. B 3. '!$G$31,'B 2. B 3. '!$H$31,IF(AND(K99&lt;='B 2. B 3. '!$G$30,K99&gt;'B 2. B 3. '!$G$31),0+(('B 2. B 3. '!$H$31-'B 2. B 3. '!$H$30)/('B 2. B 3. '!$G$31-'B 2. B 3. '!$G$30))*(K99-'B 2. B 3. '!$G$30),0))</f>
        <v>0</v>
      </c>
      <c r="M99" s="285"/>
      <c r="N99" s="286"/>
      <c r="O99" s="287">
        <v>44</v>
      </c>
      <c r="P99" s="287">
        <f>IF(O99&lt;='B 2. B 3. '!$L$25,'B 2. B 3. '!$M$25,IF(AND(O99&lt;='B 2. B 3. '!$L$24,O99&gt;'B 2. B 3. '!$L$25),0+(('B 2. B 3. '!$M$25-'B 2. B 3. '!$M$24)/('B 2. B 3. '!$L$25-'B 2. B 3. '!$L$24))*(O99-'B 2. B 3. '!$L$24),0))</f>
        <v>37.037037037037038</v>
      </c>
      <c r="Q99" s="288"/>
      <c r="R99" s="287">
        <v>44</v>
      </c>
      <c r="S99" s="287">
        <f>IF(R99&lt;='B 2. B 3. '!$L$27,'B 2. B 3. '!$M$27,IF(AND(R99&lt;='B 2. B 3. '!$L$26,R99&gt;'B 2. B 3. '!$L$27),0+(('B 2. B 3. '!$M$27-'B 2. B 3. '!$M$26)/('B 2. B 3. '!$L$27-'B 2. B 3. '!$L$26))*(R99-'B 2. B 3. '!$L$26),0))</f>
        <v>33.333333333333336</v>
      </c>
      <c r="T99" s="288"/>
      <c r="U99" s="287">
        <v>44</v>
      </c>
      <c r="V99" s="287">
        <f>IF(U99&lt;='B 2. B 3. '!$L$29,'B 2. B 3. '!$M$29,IF(AND(U99&lt;='B 2. B 3. '!$L$28,U99&gt;'B 2. B 3. '!$L$29),0+(('B 2. B 3. '!$M$29-'B 2. B 3. '!$M$28)/('B 2. B 3. '!$L$29-'B 2. B 3. '!$L$28))*(U99-'B 2. B 3. '!$L$28),0))</f>
        <v>111.11111111111111</v>
      </c>
      <c r="W99" s="288"/>
      <c r="X99" s="287">
        <v>44</v>
      </c>
      <c r="Y99" s="287">
        <f>IF(X99&lt;='B 2. B 3. '!$L$31,'B 2. B 3. '!$M$31,IF(AND(X99&lt;='B 2. B 3. '!$L$30,X99&gt;'B 2. B 3. '!$L$31),0+(('B 2. B 3. '!$M$31-'B 2. B 3. '!$M$30)/('B 2. B 3. '!$L$31-'B 2. B 3. '!$L$30))*(X99-'B 2. B 3. '!$L$30),0))</f>
        <v>0</v>
      </c>
    </row>
    <row r="100" spans="2:25">
      <c r="B100" s="284">
        <v>115</v>
      </c>
      <c r="C100" s="284">
        <f>IF(B100&lt;='B 2. B 3. '!$G$25,'B 2. B 3. '!$H$25,IF(AND(B100&lt;='B 2. B 3. '!$G$24,B100&gt;'B 2. B 3. '!$G$25),0+(('B 2. B 3. '!$H$25-'B 2. B 3. '!$H$24)/('B 2. B 3. '!$G$25-'B 2. B 3. '!$G$24))*(B100-'B 2. B 3. '!$G$24),0))</f>
        <v>0</v>
      </c>
      <c r="D100" s="285"/>
      <c r="E100" s="284">
        <v>115</v>
      </c>
      <c r="F100" s="284">
        <f>IF(E100&lt;='B 2. B 3. '!$G$27,'B 2. B 3. '!$H$27,IF(AND(E100&lt;='B 2. B 3. '!$G$26,E100&gt;'B 2. B 3. '!$G$27),0+(('B 2. B 3. '!$H$27-'B 2. B 3. '!$H$26)/('B 2. B 3. '!$G$27-'B 2. B 3. '!$G$26))*(E100-'B 2. B 3. '!$G$26),0))</f>
        <v>0</v>
      </c>
      <c r="G100" s="285"/>
      <c r="H100" s="284">
        <v>115</v>
      </c>
      <c r="I100" s="284">
        <f>IF(H100&lt;='B 2. B 3. '!$G$29,'B 2. B 3. '!$H$29,IF(AND(H100&lt;='B 2. B 3. '!$G$28,H100&gt;'B 2. B 3. '!$G$29),0+(('B 2. B 3. '!$H$29-'B 2. B 3. '!$H$28)/('B 2. B 3. '!$G$29-'B 2. B 3. '!$G$28))*(H100-'B 2. B 3. '!$G$28),0))</f>
        <v>6.6666666666666661</v>
      </c>
      <c r="J100" s="285"/>
      <c r="K100" s="284">
        <v>57.5</v>
      </c>
      <c r="L100" s="284">
        <f>IF(K100&lt;='B 2. B 3. '!$G$31,'B 2. B 3. '!$H$31,IF(AND(K100&lt;='B 2. B 3. '!$G$30,K100&gt;'B 2. B 3. '!$G$31),0+(('B 2. B 3. '!$H$31-'B 2. B 3. '!$H$30)/('B 2. B 3. '!$G$31-'B 2. B 3. '!$G$30))*(K100-'B 2. B 3. '!$G$30),0))</f>
        <v>0</v>
      </c>
      <c r="M100" s="285"/>
      <c r="N100" s="286"/>
      <c r="O100" s="287">
        <v>46</v>
      </c>
      <c r="P100" s="287">
        <f>IF(O100&lt;='B 2. B 3. '!$L$25,'B 2. B 3. '!$M$25,IF(AND(O100&lt;='B 2. B 3. '!$L$24,O100&gt;'B 2. B 3. '!$L$25),0+(('B 2. B 3. '!$M$25-'B 2. B 3. '!$M$24)/('B 2. B 3. '!$L$25-'B 2. B 3. '!$L$24))*(O100-'B 2. B 3. '!$L$24),0))</f>
        <v>35.185185185185183</v>
      </c>
      <c r="Q100" s="288"/>
      <c r="R100" s="287">
        <v>46</v>
      </c>
      <c r="S100" s="287">
        <f>IF(R100&lt;='B 2. B 3. '!$L$27,'B 2. B 3. '!$M$27,IF(AND(R100&lt;='B 2. B 3. '!$L$26,R100&gt;'B 2. B 3. '!$L$27),0+(('B 2. B 3. '!$M$27-'B 2. B 3. '!$M$26)/('B 2. B 3. '!$L$27-'B 2. B 3. '!$L$26))*(R100-'B 2. B 3. '!$L$26),0))</f>
        <v>31.666666666666668</v>
      </c>
      <c r="T100" s="288"/>
      <c r="U100" s="287">
        <v>46</v>
      </c>
      <c r="V100" s="287">
        <f>IF(U100&lt;='B 2. B 3. '!$L$29,'B 2. B 3. '!$M$29,IF(AND(U100&lt;='B 2. B 3. '!$L$28,U100&gt;'B 2. B 3. '!$L$29),0+(('B 2. B 3. '!$M$29-'B 2. B 3. '!$M$28)/('B 2. B 3. '!$L$29-'B 2. B 3. '!$L$28))*(U100-'B 2. B 3. '!$L$28),0))</f>
        <v>108.8888888888889</v>
      </c>
      <c r="W100" s="288"/>
      <c r="X100" s="287">
        <v>46</v>
      </c>
      <c r="Y100" s="287">
        <f>IF(X100&lt;='B 2. B 3. '!$L$31,'B 2. B 3. '!$M$31,IF(AND(X100&lt;='B 2. B 3. '!$L$30,X100&gt;'B 2. B 3. '!$L$31),0+(('B 2. B 3. '!$M$31-'B 2. B 3. '!$M$30)/('B 2. B 3. '!$L$31-'B 2. B 3. '!$L$30))*(X100-'B 2. B 3. '!$L$30),0))</f>
        <v>0</v>
      </c>
    </row>
    <row r="101" spans="2:25">
      <c r="B101" s="284">
        <v>120</v>
      </c>
      <c r="C101" s="284">
        <f>IF(B101&lt;='B 2. B 3. '!$G$25,'B 2. B 3. '!$H$25,IF(AND(B101&lt;='B 2. B 3. '!$G$24,B101&gt;'B 2. B 3. '!$G$25),0+(('B 2. B 3. '!$H$25-'B 2. B 3. '!$H$24)/('B 2. B 3. '!$G$25-'B 2. B 3. '!$G$24))*(B101-'B 2. B 3. '!$G$24),0))</f>
        <v>0</v>
      </c>
      <c r="D101" s="285"/>
      <c r="E101" s="284">
        <v>120</v>
      </c>
      <c r="F101" s="284">
        <f>IF(E101&lt;='B 2. B 3. '!$G$27,'B 2. B 3. '!$H$27,IF(AND(E101&lt;='B 2. B 3. '!$G$26,E101&gt;'B 2. B 3. '!$G$27),0+(('B 2. B 3. '!$H$27-'B 2. B 3. '!$H$26)/('B 2. B 3. '!$G$27-'B 2. B 3. '!$G$26))*(E101-'B 2. B 3. '!$G$26),0))</f>
        <v>0</v>
      </c>
      <c r="G101" s="285"/>
      <c r="H101" s="284">
        <v>120</v>
      </c>
      <c r="I101" s="284">
        <f>IF(H101&lt;='B 2. B 3. '!$G$29,'B 2. B 3. '!$H$29,IF(AND(H101&lt;='B 2. B 3. '!$G$28,H101&gt;'B 2. B 3. '!$G$29),0+(('B 2. B 3. '!$H$29-'B 2. B 3. '!$H$28)/('B 2. B 3. '!$G$29-'B 2. B 3. '!$G$28))*(H101-'B 2. B 3. '!$G$28),0))</f>
        <v>0</v>
      </c>
      <c r="J101" s="285"/>
      <c r="K101" s="284">
        <v>60</v>
      </c>
      <c r="L101" s="284">
        <f>IF(K101&lt;='B 2. B 3. '!$G$31,'B 2. B 3. '!$H$31,IF(AND(K101&lt;='B 2. B 3. '!$G$30,K101&gt;'B 2. B 3. '!$G$31),0+(('B 2. B 3. '!$H$31-'B 2. B 3. '!$H$30)/('B 2. B 3. '!$G$31-'B 2. B 3. '!$G$30))*(K101-'B 2. B 3. '!$G$30),0))</f>
        <v>0</v>
      </c>
      <c r="M101" s="285"/>
      <c r="N101" s="286"/>
      <c r="O101" s="287">
        <v>48</v>
      </c>
      <c r="P101" s="287">
        <f>IF(O101&lt;='B 2. B 3. '!$L$25,'B 2. B 3. '!$M$25,IF(AND(O101&lt;='B 2. B 3. '!$L$24,O101&gt;'B 2. B 3. '!$L$25),0+(('B 2. B 3. '!$M$25-'B 2. B 3. '!$M$24)/('B 2. B 3. '!$L$25-'B 2. B 3. '!$L$24))*(O101-'B 2. B 3. '!$L$24),0))</f>
        <v>33.333333333333336</v>
      </c>
      <c r="Q101" s="288"/>
      <c r="R101" s="287">
        <v>48</v>
      </c>
      <c r="S101" s="287">
        <f>IF(R101&lt;='B 2. B 3. '!$L$27,'B 2. B 3. '!$M$27,IF(AND(R101&lt;='B 2. B 3. '!$L$26,R101&gt;'B 2. B 3. '!$L$27),0+(('B 2. B 3. '!$M$27-'B 2. B 3. '!$M$26)/('B 2. B 3. '!$L$27-'B 2. B 3. '!$L$26))*(R101-'B 2. B 3. '!$L$26),0))</f>
        <v>30</v>
      </c>
      <c r="T101" s="288"/>
      <c r="U101" s="287">
        <v>48</v>
      </c>
      <c r="V101" s="287">
        <f>IF(U101&lt;='B 2. B 3. '!$L$29,'B 2. B 3. '!$M$29,IF(AND(U101&lt;='B 2. B 3. '!$L$28,U101&gt;'B 2. B 3. '!$L$29),0+(('B 2. B 3. '!$M$29-'B 2. B 3. '!$M$28)/('B 2. B 3. '!$L$29-'B 2. B 3. '!$L$28))*(U101-'B 2. B 3. '!$L$28),0))</f>
        <v>106.66666666666667</v>
      </c>
      <c r="W101" s="288"/>
      <c r="X101" s="287">
        <v>48</v>
      </c>
      <c r="Y101" s="287">
        <f>IF(X101&lt;='B 2. B 3. '!$L$31,'B 2. B 3. '!$M$31,IF(AND(X101&lt;='B 2. B 3. '!$L$30,X101&gt;'B 2. B 3. '!$L$31),0+(('B 2. B 3. '!$M$31-'B 2. B 3. '!$M$30)/('B 2. B 3. '!$L$31-'B 2. B 3. '!$L$30))*(X101-'B 2. B 3. '!$L$30),0))</f>
        <v>0</v>
      </c>
    </row>
    <row r="102" spans="2:25">
      <c r="B102" s="284">
        <v>125</v>
      </c>
      <c r="C102" s="284">
        <f>IF(B102&lt;='B 2. B 3. '!$G$25,'B 2. B 3. '!$H$25,IF(AND(B102&lt;='B 2. B 3. '!$G$24,B102&gt;'B 2. B 3. '!$G$25),0+(('B 2. B 3. '!$H$25-'B 2. B 3. '!$H$24)/('B 2. B 3. '!$G$25-'B 2. B 3. '!$G$24))*(B102-'B 2. B 3. '!$G$24),0))</f>
        <v>0</v>
      </c>
      <c r="D102" s="285"/>
      <c r="E102" s="284">
        <v>125</v>
      </c>
      <c r="F102" s="284">
        <f>IF(E102&lt;='B 2. B 3. '!$G$27,'B 2. B 3. '!$H$27,IF(AND(E102&lt;='B 2. B 3. '!$G$26,E102&gt;'B 2. B 3. '!$G$27),0+(('B 2. B 3. '!$H$27-'B 2. B 3. '!$H$26)/('B 2. B 3. '!$G$27-'B 2. B 3. '!$G$26))*(E102-'B 2. B 3. '!$G$26),0))</f>
        <v>0</v>
      </c>
      <c r="G102" s="285"/>
      <c r="H102" s="284">
        <v>125</v>
      </c>
      <c r="I102" s="284">
        <f>IF(H102&lt;='B 2. B 3. '!$G$29,'B 2. B 3. '!$H$29,IF(AND(H102&lt;='B 2. B 3. '!$G$28,H102&gt;'B 2. B 3. '!$G$29),0+(('B 2. B 3. '!$H$29-'B 2. B 3. '!$H$28)/('B 2. B 3. '!$G$29-'B 2. B 3. '!$G$28))*(H102-'B 2. B 3. '!$G$28),0))</f>
        <v>0</v>
      </c>
      <c r="J102" s="285"/>
      <c r="K102" s="284">
        <v>62.5</v>
      </c>
      <c r="L102" s="284">
        <f>IF(K102&lt;='B 2. B 3. '!$G$31,'B 2. B 3. '!$H$31,IF(AND(K102&lt;='B 2. B 3. '!$G$30,K102&gt;'B 2. B 3. '!$G$31),0+(('B 2. B 3. '!$H$31-'B 2. B 3. '!$H$30)/('B 2. B 3. '!$G$31-'B 2. B 3. '!$G$30))*(K102-'B 2. B 3. '!$G$30),0))</f>
        <v>0</v>
      </c>
      <c r="M102" s="285"/>
      <c r="N102" s="286"/>
      <c r="O102" s="287">
        <v>50</v>
      </c>
      <c r="P102" s="287">
        <f>IF(O102&lt;='B 2. B 3. '!$L$25,'B 2. B 3. '!$M$25,IF(AND(O102&lt;='B 2. B 3. '!$L$24,O102&gt;'B 2. B 3. '!$L$25),0+(('B 2. B 3. '!$M$25-'B 2. B 3. '!$M$24)/('B 2. B 3. '!$L$25-'B 2. B 3. '!$L$24))*(O102-'B 2. B 3. '!$L$24),0))</f>
        <v>31.481481481481481</v>
      </c>
      <c r="Q102" s="288"/>
      <c r="R102" s="287">
        <v>50</v>
      </c>
      <c r="S102" s="287">
        <f>IF(R102&lt;='B 2. B 3. '!$L$27,'B 2. B 3. '!$M$27,IF(AND(R102&lt;='B 2. B 3. '!$L$26,R102&gt;'B 2. B 3. '!$L$27),0+(('B 2. B 3. '!$M$27-'B 2. B 3. '!$M$26)/('B 2. B 3. '!$L$27-'B 2. B 3. '!$L$26))*(R102-'B 2. B 3. '!$L$26),0))</f>
        <v>28.333333333333336</v>
      </c>
      <c r="T102" s="288"/>
      <c r="U102" s="287">
        <v>50</v>
      </c>
      <c r="V102" s="287">
        <f>IF(U102&lt;='B 2. B 3. '!$L$29,'B 2. B 3. '!$M$29,IF(AND(U102&lt;='B 2. B 3. '!$L$28,U102&gt;'B 2. B 3. '!$L$29),0+(('B 2. B 3. '!$M$29-'B 2. B 3. '!$M$28)/('B 2. B 3. '!$L$29-'B 2. B 3. '!$L$28))*(U102-'B 2. B 3. '!$L$28),0))</f>
        <v>104.44444444444444</v>
      </c>
      <c r="W102" s="288"/>
      <c r="X102" s="287">
        <v>50</v>
      </c>
      <c r="Y102" s="287">
        <f>IF(X102&lt;='B 2. B 3. '!$L$31,'B 2. B 3. '!$M$31,IF(AND(X102&lt;='B 2. B 3. '!$L$30,X102&gt;'B 2. B 3. '!$L$31),0+(('B 2. B 3. '!$M$31-'B 2. B 3. '!$M$30)/('B 2. B 3. '!$L$31-'B 2. B 3. '!$L$30))*(X102-'B 2. B 3. '!$L$30),0))</f>
        <v>0</v>
      </c>
    </row>
    <row r="103" spans="2:25">
      <c r="B103" s="284">
        <v>130</v>
      </c>
      <c r="C103" s="284">
        <f>IF(B103&lt;='B 2. B 3. '!$G$25,'B 2. B 3. '!$H$25,IF(AND(B103&lt;='B 2. B 3. '!$G$24,B103&gt;'B 2. B 3. '!$G$25),0+(('B 2. B 3. '!$H$25-'B 2. B 3. '!$H$24)/('B 2. B 3. '!$G$25-'B 2. B 3. '!$G$24))*(B103-'B 2. B 3. '!$G$24),0))</f>
        <v>0</v>
      </c>
      <c r="D103" s="285"/>
      <c r="E103" s="284">
        <v>130</v>
      </c>
      <c r="F103" s="284">
        <f>IF(E103&lt;='B 2. B 3. '!$G$27,'B 2. B 3. '!$H$27,IF(AND(E103&lt;='B 2. B 3. '!$G$26,E103&gt;'B 2. B 3. '!$G$27),0+(('B 2. B 3. '!$H$27-'B 2. B 3. '!$H$26)/('B 2. B 3. '!$G$27-'B 2. B 3. '!$G$26))*(E103-'B 2. B 3. '!$G$26),0))</f>
        <v>0</v>
      </c>
      <c r="G103" s="285"/>
      <c r="H103" s="284">
        <v>130</v>
      </c>
      <c r="I103" s="284">
        <f>IF(H103&lt;='B 2. B 3. '!$G$29,'B 2. B 3. '!$H$29,IF(AND(H103&lt;='B 2. B 3. '!$G$28,H103&gt;'B 2. B 3. '!$G$29),0+(('B 2. B 3. '!$H$29-'B 2. B 3. '!$H$28)/('B 2. B 3. '!$G$29-'B 2. B 3. '!$G$28))*(H103-'B 2. B 3. '!$G$28),0))</f>
        <v>0</v>
      </c>
      <c r="J103" s="285"/>
      <c r="K103" s="284">
        <v>65</v>
      </c>
      <c r="L103" s="284">
        <f>IF(K103&lt;='B 2. B 3. '!$G$31,'B 2. B 3. '!$H$31,IF(AND(K103&lt;='B 2. B 3. '!$G$30,K103&gt;'B 2. B 3. '!$G$31),0+(('B 2. B 3. '!$H$31-'B 2. B 3. '!$H$30)/('B 2. B 3. '!$G$31-'B 2. B 3. '!$G$30))*(K103-'B 2. B 3. '!$G$30),0))</f>
        <v>0</v>
      </c>
      <c r="M103" s="285"/>
      <c r="N103" s="286"/>
      <c r="O103" s="287">
        <v>52</v>
      </c>
      <c r="P103" s="287">
        <f>IF(O103&lt;='B 2. B 3. '!$L$25,'B 2. B 3. '!$M$25,IF(AND(O103&lt;='B 2. B 3. '!$L$24,O103&gt;'B 2. B 3. '!$L$25),0+(('B 2. B 3. '!$M$25-'B 2. B 3. '!$M$24)/('B 2. B 3. '!$L$25-'B 2. B 3. '!$L$24))*(O103-'B 2. B 3. '!$L$24),0))</f>
        <v>29.62962962962963</v>
      </c>
      <c r="Q103" s="288"/>
      <c r="R103" s="287">
        <v>52</v>
      </c>
      <c r="S103" s="287">
        <f>IF(R103&lt;='B 2. B 3. '!$L$27,'B 2. B 3. '!$M$27,IF(AND(R103&lt;='B 2. B 3. '!$L$26,R103&gt;'B 2. B 3. '!$L$27),0+(('B 2. B 3. '!$M$27-'B 2. B 3. '!$M$26)/('B 2. B 3. '!$L$27-'B 2. B 3. '!$L$26))*(R103-'B 2. B 3. '!$L$26),0))</f>
        <v>26.666666666666668</v>
      </c>
      <c r="T103" s="288"/>
      <c r="U103" s="287">
        <v>52</v>
      </c>
      <c r="V103" s="287">
        <f>IF(U103&lt;='B 2. B 3. '!$L$29,'B 2. B 3. '!$M$29,IF(AND(U103&lt;='B 2. B 3. '!$L$28,U103&gt;'B 2. B 3. '!$L$29),0+(('B 2. B 3. '!$M$29-'B 2. B 3. '!$M$28)/('B 2. B 3. '!$L$29-'B 2. B 3. '!$L$28))*(U103-'B 2. B 3. '!$L$28),0))</f>
        <v>102.22222222222223</v>
      </c>
      <c r="W103" s="288"/>
      <c r="X103" s="287">
        <v>52</v>
      </c>
      <c r="Y103" s="287">
        <f>IF(X103&lt;='B 2. B 3. '!$L$31,'B 2. B 3. '!$M$31,IF(AND(X103&lt;='B 2. B 3. '!$L$30,X103&gt;'B 2. B 3. '!$L$31),0+(('B 2. B 3. '!$M$31-'B 2. B 3. '!$M$30)/('B 2. B 3. '!$L$31-'B 2. B 3. '!$L$30))*(X103-'B 2. B 3. '!$L$30),0))</f>
        <v>0</v>
      </c>
    </row>
    <row r="104" spans="2:25">
      <c r="B104" s="284">
        <v>135</v>
      </c>
      <c r="C104" s="284">
        <f>IF(B104&lt;='B 2. B 3. '!$G$25,'B 2. B 3. '!$H$25,IF(AND(B104&lt;='B 2. B 3. '!$G$24,B104&gt;'B 2. B 3. '!$G$25),0+(('B 2. B 3. '!$H$25-'B 2. B 3. '!$H$24)/('B 2. B 3. '!$G$25-'B 2. B 3. '!$G$24))*(B104-'B 2. B 3. '!$G$24),0))</f>
        <v>0</v>
      </c>
      <c r="D104" s="285"/>
      <c r="E104" s="284">
        <v>135</v>
      </c>
      <c r="F104" s="284">
        <f>IF(E104&lt;='B 2. B 3. '!$G$27,'B 2. B 3. '!$H$27,IF(AND(E104&lt;='B 2. B 3. '!$G$26,E104&gt;'B 2. B 3. '!$G$27),0+(('B 2. B 3. '!$H$27-'B 2. B 3. '!$H$26)/('B 2. B 3. '!$G$27-'B 2. B 3. '!$G$26))*(E104-'B 2. B 3. '!$G$26),0))</f>
        <v>0</v>
      </c>
      <c r="G104" s="285"/>
      <c r="H104" s="284">
        <v>135</v>
      </c>
      <c r="I104" s="284">
        <f>IF(H104&lt;='B 2. B 3. '!$G$29,'B 2. B 3. '!$H$29,IF(AND(H104&lt;='B 2. B 3. '!$G$28,H104&gt;'B 2. B 3. '!$G$29),0+(('B 2. B 3. '!$H$29-'B 2. B 3. '!$H$28)/('B 2. B 3. '!$G$29-'B 2. B 3. '!$G$28))*(H104-'B 2. B 3. '!$G$28),0))</f>
        <v>0</v>
      </c>
      <c r="J104" s="285"/>
      <c r="K104" s="284">
        <v>67.5</v>
      </c>
      <c r="L104" s="284">
        <f>IF(K104&lt;='B 2. B 3. '!$G$31,'B 2. B 3. '!$H$31,IF(AND(K104&lt;='B 2. B 3. '!$G$30,K104&gt;'B 2. B 3. '!$G$31),0+(('B 2. B 3. '!$H$31-'B 2. B 3. '!$H$30)/('B 2. B 3. '!$G$31-'B 2. B 3. '!$G$30))*(K104-'B 2. B 3. '!$G$30),0))</f>
        <v>0</v>
      </c>
      <c r="M104" s="285"/>
      <c r="N104" s="286"/>
      <c r="O104" s="287">
        <v>54</v>
      </c>
      <c r="P104" s="287">
        <f>IF(O104&lt;='B 2. B 3. '!$L$25,'B 2. B 3. '!$M$25,IF(AND(O104&lt;='B 2. B 3. '!$L$24,O104&gt;'B 2. B 3. '!$L$25),0+(('B 2. B 3. '!$M$25-'B 2. B 3. '!$M$24)/('B 2. B 3. '!$L$25-'B 2. B 3. '!$L$24))*(O104-'B 2. B 3. '!$L$24),0))</f>
        <v>27.777777777777779</v>
      </c>
      <c r="Q104" s="288"/>
      <c r="R104" s="287">
        <v>54</v>
      </c>
      <c r="S104" s="287">
        <f>IF(R104&lt;='B 2. B 3. '!$L$27,'B 2. B 3. '!$M$27,IF(AND(R104&lt;='B 2. B 3. '!$L$26,R104&gt;'B 2. B 3. '!$L$27),0+(('B 2. B 3. '!$M$27-'B 2. B 3. '!$M$26)/('B 2. B 3. '!$L$27-'B 2. B 3. '!$L$26))*(R104-'B 2. B 3. '!$L$26),0))</f>
        <v>25</v>
      </c>
      <c r="T104" s="288"/>
      <c r="U104" s="287">
        <v>54</v>
      </c>
      <c r="V104" s="287">
        <f>IF(U104&lt;='B 2. B 3. '!$L$29,'B 2. B 3. '!$M$29,IF(AND(U104&lt;='B 2. B 3. '!$L$28,U104&gt;'B 2. B 3. '!$L$29),0+(('B 2. B 3. '!$M$29-'B 2. B 3. '!$M$28)/('B 2. B 3. '!$L$29-'B 2. B 3. '!$L$28))*(U104-'B 2. B 3. '!$L$28),0))</f>
        <v>100</v>
      </c>
      <c r="W104" s="288"/>
      <c r="X104" s="287">
        <v>54</v>
      </c>
      <c r="Y104" s="287">
        <f>IF(X104&lt;='B 2. B 3. '!$L$31,'B 2. B 3. '!$M$31,IF(AND(X104&lt;='B 2. B 3. '!$L$30,X104&gt;'B 2. B 3. '!$L$31),0+(('B 2. B 3. '!$M$31-'B 2. B 3. '!$M$30)/('B 2. B 3. '!$L$31-'B 2. B 3. '!$L$30))*(X104-'B 2. B 3. '!$L$30),0))</f>
        <v>0</v>
      </c>
    </row>
    <row r="105" spans="2:25">
      <c r="B105" s="284">
        <v>140</v>
      </c>
      <c r="C105" s="284">
        <f>IF(B105&lt;='B 2. B 3. '!$G$25,'B 2. B 3. '!$H$25,IF(AND(B105&lt;='B 2. B 3. '!$G$24,B105&gt;'B 2. B 3. '!$G$25),0+(('B 2. B 3. '!$H$25-'B 2. B 3. '!$H$24)/('B 2. B 3. '!$G$25-'B 2. B 3. '!$G$24))*(B105-'B 2. B 3. '!$G$24),0))</f>
        <v>0</v>
      </c>
      <c r="D105" s="285"/>
      <c r="E105" s="284">
        <v>140</v>
      </c>
      <c r="F105" s="284">
        <f>IF(E105&lt;='B 2. B 3. '!$G$27,'B 2. B 3. '!$H$27,IF(AND(E105&lt;='B 2. B 3. '!$G$26,E105&gt;'B 2. B 3. '!$G$27),0+(('B 2. B 3. '!$H$27-'B 2. B 3. '!$H$26)/('B 2. B 3. '!$G$27-'B 2. B 3. '!$G$26))*(E105-'B 2. B 3. '!$G$26),0))</f>
        <v>0</v>
      </c>
      <c r="G105" s="285"/>
      <c r="H105" s="284">
        <v>140</v>
      </c>
      <c r="I105" s="284">
        <f>IF(H105&lt;='B 2. B 3. '!$G$29,'B 2. B 3. '!$H$29,IF(AND(H105&lt;='B 2. B 3. '!$G$28,H105&gt;'B 2. B 3. '!$G$29),0+(('B 2. B 3. '!$H$29-'B 2. B 3. '!$H$28)/('B 2. B 3. '!$G$29-'B 2. B 3. '!$G$28))*(H105-'B 2. B 3. '!$G$28),0))</f>
        <v>0</v>
      </c>
      <c r="J105" s="285"/>
      <c r="K105" s="284">
        <v>70</v>
      </c>
      <c r="L105" s="284">
        <f>IF(K105&lt;='B 2. B 3. '!$G$31,'B 2. B 3. '!$H$31,IF(AND(K105&lt;='B 2. B 3. '!$G$30,K105&gt;'B 2. B 3. '!$G$31),0+(('B 2. B 3. '!$H$31-'B 2. B 3. '!$H$30)/('B 2. B 3. '!$G$31-'B 2. B 3. '!$G$30))*(K105-'B 2. B 3. '!$G$30),0))</f>
        <v>0</v>
      </c>
      <c r="M105" s="285"/>
      <c r="N105" s="286"/>
      <c r="O105" s="287">
        <v>56</v>
      </c>
      <c r="P105" s="287">
        <f>IF(O105&lt;='B 2. B 3. '!$L$25,'B 2. B 3. '!$M$25,IF(AND(O105&lt;='B 2. B 3. '!$L$24,O105&gt;'B 2. B 3. '!$L$25),0+(('B 2. B 3. '!$M$25-'B 2. B 3. '!$M$24)/('B 2. B 3. '!$L$25-'B 2. B 3. '!$L$24))*(O105-'B 2. B 3. '!$L$24),0))</f>
        <v>25.925925925925927</v>
      </c>
      <c r="Q105" s="288"/>
      <c r="R105" s="287">
        <v>56</v>
      </c>
      <c r="S105" s="287">
        <f>IF(R105&lt;='B 2. B 3. '!$L$27,'B 2. B 3. '!$M$27,IF(AND(R105&lt;='B 2. B 3. '!$L$26,R105&gt;'B 2. B 3. '!$L$27),0+(('B 2. B 3. '!$M$27-'B 2. B 3. '!$M$26)/('B 2. B 3. '!$L$27-'B 2. B 3. '!$L$26))*(R105-'B 2. B 3. '!$L$26),0))</f>
        <v>23.333333333333336</v>
      </c>
      <c r="T105" s="288"/>
      <c r="U105" s="287">
        <v>56</v>
      </c>
      <c r="V105" s="287">
        <f>IF(U105&lt;='B 2. B 3. '!$L$29,'B 2. B 3. '!$M$29,IF(AND(U105&lt;='B 2. B 3. '!$L$28,U105&gt;'B 2. B 3. '!$L$29),0+(('B 2. B 3. '!$M$29-'B 2. B 3. '!$M$28)/('B 2. B 3. '!$L$29-'B 2. B 3. '!$L$28))*(U105-'B 2. B 3. '!$L$28),0))</f>
        <v>97.777777777777786</v>
      </c>
      <c r="W105" s="288"/>
      <c r="X105" s="287">
        <v>56</v>
      </c>
      <c r="Y105" s="287">
        <f>IF(X105&lt;='B 2. B 3. '!$L$31,'B 2. B 3. '!$M$31,IF(AND(X105&lt;='B 2. B 3. '!$L$30,X105&gt;'B 2. B 3. '!$L$31),0+(('B 2. B 3. '!$M$31-'B 2. B 3. '!$M$30)/('B 2. B 3. '!$L$31-'B 2. B 3. '!$L$30))*(X105-'B 2. B 3. '!$L$30),0))</f>
        <v>0</v>
      </c>
    </row>
    <row r="106" spans="2:25">
      <c r="B106" s="284"/>
      <c r="C106" s="284"/>
      <c r="D106" s="285"/>
      <c r="E106" s="284"/>
      <c r="F106" s="284"/>
      <c r="G106" s="285"/>
      <c r="H106" s="284">
        <v>145</v>
      </c>
      <c r="I106" s="284">
        <f>IF(H106&lt;='B 2. B 3. '!$G$29,'B 2. B 3. '!$H$29,IF(AND(H106&lt;='B 2. B 3. '!$G$28,H106&gt;'B 2. B 3. '!$G$29),0+(('B 2. B 3. '!$H$29-'B 2. B 3. '!$H$28)/('B 2. B 3. '!$G$29-'B 2. B 3. '!$G$28))*(H106-'B 2. B 3. '!$G$28),0))</f>
        <v>0</v>
      </c>
      <c r="J106" s="285"/>
      <c r="K106" s="284"/>
      <c r="L106" s="284"/>
      <c r="M106" s="285"/>
      <c r="N106" s="286"/>
      <c r="O106" s="287">
        <v>58</v>
      </c>
      <c r="P106" s="287">
        <f>IF(O106&lt;='B 2. B 3. '!$L$25,'B 2. B 3. '!$M$25,IF(AND(O106&lt;='B 2. B 3. '!$L$24,O106&gt;'B 2. B 3. '!$L$25),0+(('B 2. B 3. '!$M$25-'B 2. B 3. '!$M$24)/('B 2. B 3. '!$L$25-'B 2. B 3. '!$L$24))*(O106-'B 2. B 3. '!$L$24),0))</f>
        <v>24.074074074074073</v>
      </c>
      <c r="Q106" s="288"/>
      <c r="R106" s="287">
        <v>58</v>
      </c>
      <c r="S106" s="287">
        <f>IF(R106&lt;='B 2. B 3. '!$L$27,'B 2. B 3. '!$M$27,IF(AND(R106&lt;='B 2. B 3. '!$L$26,R106&gt;'B 2. B 3. '!$L$27),0+(('B 2. B 3. '!$M$27-'B 2. B 3. '!$M$26)/('B 2. B 3. '!$L$27-'B 2. B 3. '!$L$26))*(R106-'B 2. B 3. '!$L$26),0))</f>
        <v>21.666666666666668</v>
      </c>
      <c r="T106" s="288"/>
      <c r="U106" s="287">
        <v>58</v>
      </c>
      <c r="V106" s="287">
        <f>IF(U106&lt;='B 2. B 3. '!$L$29,'B 2. B 3. '!$M$29,IF(AND(U106&lt;='B 2. B 3. '!$L$28,U106&gt;'B 2. B 3. '!$L$29),0+(('B 2. B 3. '!$M$29-'B 2. B 3. '!$M$28)/('B 2. B 3. '!$L$29-'B 2. B 3. '!$L$28))*(U106-'B 2. B 3. '!$L$28),0))</f>
        <v>95.555555555555557</v>
      </c>
      <c r="W106" s="288"/>
      <c r="X106" s="287"/>
      <c r="Y106" s="287"/>
    </row>
    <row r="107" spans="2:25">
      <c r="B107" s="284"/>
      <c r="C107" s="284"/>
      <c r="D107" s="285"/>
      <c r="E107" s="284"/>
      <c r="F107" s="284"/>
      <c r="G107" s="285"/>
      <c r="H107" s="284">
        <v>150</v>
      </c>
      <c r="I107" s="284">
        <f>IF(H107&lt;='B 2. B 3. '!$G$29,'B 2. B 3. '!$H$29,IF(AND(H107&lt;='B 2. B 3. '!$G$28,H107&gt;'B 2. B 3. '!$G$29),0+(('B 2. B 3. '!$H$29-'B 2. B 3. '!$H$28)/('B 2. B 3. '!$G$29-'B 2. B 3. '!$G$28))*(H107-'B 2. B 3. '!$G$28),0))</f>
        <v>0</v>
      </c>
      <c r="J107" s="285"/>
      <c r="K107" s="284"/>
      <c r="L107" s="284"/>
      <c r="M107" s="285"/>
      <c r="N107" s="286"/>
      <c r="O107" s="287">
        <v>60</v>
      </c>
      <c r="P107" s="287">
        <f>IF(O107&lt;='B 2. B 3. '!$L$25,'B 2. B 3. '!$M$25,IF(AND(O107&lt;='B 2. B 3. '!$L$24,O107&gt;'B 2. B 3. '!$L$25),0+(('B 2. B 3. '!$M$25-'B 2. B 3. '!$M$24)/('B 2. B 3. '!$L$25-'B 2. B 3. '!$L$24))*(O107-'B 2. B 3. '!$L$24),0))</f>
        <v>22.222222222222221</v>
      </c>
      <c r="Q107" s="288"/>
      <c r="R107" s="287">
        <v>60</v>
      </c>
      <c r="S107" s="287">
        <f>IF(R107&lt;='B 2. B 3. '!$L$27,'B 2. B 3. '!$M$27,IF(AND(R107&lt;='B 2. B 3. '!$L$26,R107&gt;'B 2. B 3. '!$L$27),0+(('B 2. B 3. '!$M$27-'B 2. B 3. '!$M$26)/('B 2. B 3. '!$L$27-'B 2. B 3. '!$L$26))*(R107-'B 2. B 3. '!$L$26),0))</f>
        <v>20</v>
      </c>
      <c r="T107" s="288"/>
      <c r="U107" s="287">
        <v>60</v>
      </c>
      <c r="V107" s="287">
        <f>IF(U107&lt;='B 2. B 3. '!$L$29,'B 2. B 3. '!$M$29,IF(AND(U107&lt;='B 2. B 3. '!$L$28,U107&gt;'B 2. B 3. '!$L$29),0+(('B 2. B 3. '!$M$29-'B 2. B 3. '!$M$28)/('B 2. B 3. '!$L$29-'B 2. B 3. '!$L$28))*(U107-'B 2. B 3. '!$L$28),0))</f>
        <v>93.333333333333343</v>
      </c>
      <c r="W107" s="288"/>
      <c r="X107" s="287"/>
      <c r="Y107" s="287"/>
    </row>
    <row r="108" spans="2:25">
      <c r="B108" s="284"/>
      <c r="C108" s="284"/>
      <c r="D108" s="285"/>
      <c r="E108" s="284"/>
      <c r="F108" s="284"/>
      <c r="G108" s="285"/>
      <c r="H108" s="284"/>
      <c r="I108" s="284"/>
      <c r="J108" s="285"/>
      <c r="K108" s="284"/>
      <c r="L108" s="284"/>
      <c r="M108" s="285"/>
      <c r="N108" s="286"/>
      <c r="O108" s="287">
        <v>62</v>
      </c>
      <c r="P108" s="287">
        <f>IF(O108&lt;='B 2. B 3. '!$L$25,'B 2. B 3. '!$M$25,IF(AND(O108&lt;='B 2. B 3. '!$L$24,O108&gt;'B 2. B 3. '!$L$25),0+(('B 2. B 3. '!$M$25-'B 2. B 3. '!$M$24)/('B 2. B 3. '!$L$25-'B 2. B 3. '!$L$24))*(O108-'B 2. B 3. '!$L$24),0))</f>
        <v>20.37037037037037</v>
      </c>
      <c r="Q108" s="288"/>
      <c r="R108" s="287">
        <v>62</v>
      </c>
      <c r="S108" s="287">
        <f>IF(R108&lt;='B 2. B 3. '!$L$27,'B 2. B 3. '!$M$27,IF(AND(R108&lt;='B 2. B 3. '!$L$26,R108&gt;'B 2. B 3. '!$L$27),0+(('B 2. B 3. '!$M$27-'B 2. B 3. '!$M$26)/('B 2. B 3. '!$L$27-'B 2. B 3. '!$L$26))*(R108-'B 2. B 3. '!$L$26),0))</f>
        <v>18.333333333333336</v>
      </c>
      <c r="T108" s="288"/>
      <c r="U108" s="287">
        <v>62</v>
      </c>
      <c r="V108" s="287">
        <f>IF(U108&lt;='B 2. B 3. '!$L$29,'B 2. B 3. '!$M$29,IF(AND(U108&lt;='B 2. B 3. '!$L$28,U108&gt;'B 2. B 3. '!$L$29),0+(('B 2. B 3. '!$M$29-'B 2. B 3. '!$M$28)/('B 2. B 3. '!$L$29-'B 2. B 3. '!$L$28))*(U108-'B 2. B 3. '!$L$28),0))</f>
        <v>91.111111111111114</v>
      </c>
      <c r="W108" s="288"/>
      <c r="X108" s="287"/>
      <c r="Y108" s="287"/>
    </row>
    <row r="109" spans="2:25">
      <c r="B109" s="284"/>
      <c r="C109" s="284"/>
      <c r="D109" s="285"/>
      <c r="E109" s="284"/>
      <c r="F109" s="284"/>
      <c r="G109" s="285"/>
      <c r="H109" s="284"/>
      <c r="I109" s="284"/>
      <c r="J109" s="285"/>
      <c r="K109" s="284"/>
      <c r="L109" s="284"/>
      <c r="M109" s="285"/>
      <c r="N109" s="286"/>
      <c r="O109" s="287">
        <v>64</v>
      </c>
      <c r="P109" s="287">
        <f>IF(O109&lt;='B 2. B 3. '!$L$25,'B 2. B 3. '!$M$25,IF(AND(O109&lt;='B 2. B 3. '!$L$24,O109&gt;'B 2. B 3. '!$L$25),0+(('B 2. B 3. '!$M$25-'B 2. B 3. '!$M$24)/('B 2. B 3. '!$L$25-'B 2. B 3. '!$L$24))*(O109-'B 2. B 3. '!$L$24),0))</f>
        <v>18.518518518518519</v>
      </c>
      <c r="Q109" s="288"/>
      <c r="R109" s="287">
        <v>64</v>
      </c>
      <c r="S109" s="287">
        <f>IF(R109&lt;='B 2. B 3. '!$L$27,'B 2. B 3. '!$M$27,IF(AND(R109&lt;='B 2. B 3. '!$L$26,R109&gt;'B 2. B 3. '!$L$27),0+(('B 2. B 3. '!$M$27-'B 2. B 3. '!$M$26)/('B 2. B 3. '!$L$27-'B 2. B 3. '!$L$26))*(R109-'B 2. B 3. '!$L$26),0))</f>
        <v>16.666666666666668</v>
      </c>
      <c r="T109" s="288"/>
      <c r="U109" s="287">
        <v>64</v>
      </c>
      <c r="V109" s="287">
        <f>IF(U109&lt;='B 2. B 3. '!$L$29,'B 2. B 3. '!$M$29,IF(AND(U109&lt;='B 2. B 3. '!$L$28,U109&gt;'B 2. B 3. '!$L$29),0+(('B 2. B 3. '!$M$29-'B 2. B 3. '!$M$28)/('B 2. B 3. '!$L$29-'B 2. B 3. '!$L$28))*(U109-'B 2. B 3. '!$L$28),0))</f>
        <v>88.888888888888886</v>
      </c>
      <c r="W109" s="288"/>
      <c r="X109" s="287"/>
      <c r="Y109" s="287"/>
    </row>
    <row r="110" spans="2:25">
      <c r="B110" s="284"/>
      <c r="C110" s="284"/>
      <c r="D110" s="285"/>
      <c r="E110" s="284"/>
      <c r="F110" s="284"/>
      <c r="G110" s="285"/>
      <c r="H110" s="284"/>
      <c r="I110" s="284"/>
      <c r="J110" s="285"/>
      <c r="K110" s="284"/>
      <c r="L110" s="284"/>
      <c r="M110" s="285"/>
      <c r="N110" s="286"/>
      <c r="O110" s="287">
        <v>66</v>
      </c>
      <c r="P110" s="287">
        <f>IF(O110&lt;='B 2. B 3. '!$L$25,'B 2. B 3. '!$M$25,IF(AND(O110&lt;='B 2. B 3. '!$L$24,O110&gt;'B 2. B 3. '!$L$25),0+(('B 2. B 3. '!$M$25-'B 2. B 3. '!$M$24)/('B 2. B 3. '!$L$25-'B 2. B 3. '!$L$24))*(O110-'B 2. B 3. '!$L$24),0))</f>
        <v>16.666666666666668</v>
      </c>
      <c r="Q110" s="288"/>
      <c r="R110" s="287">
        <v>66</v>
      </c>
      <c r="S110" s="287">
        <f>IF(R110&lt;='B 2. B 3. '!$L$27,'B 2. B 3. '!$M$27,IF(AND(R110&lt;='B 2. B 3. '!$L$26,R110&gt;'B 2. B 3. '!$L$27),0+(('B 2. B 3. '!$M$27-'B 2. B 3. '!$M$26)/('B 2. B 3. '!$L$27-'B 2. B 3. '!$L$26))*(R110-'B 2. B 3. '!$L$26),0))</f>
        <v>15</v>
      </c>
      <c r="T110" s="288"/>
      <c r="U110" s="287">
        <v>66</v>
      </c>
      <c r="V110" s="287">
        <f>IF(U110&lt;='B 2. B 3. '!$L$29,'B 2. B 3. '!$M$29,IF(AND(U110&lt;='B 2. B 3. '!$L$28,U110&gt;'B 2. B 3. '!$L$29),0+(('B 2. B 3. '!$M$29-'B 2. B 3. '!$M$28)/('B 2. B 3. '!$L$29-'B 2. B 3. '!$L$28))*(U110-'B 2. B 3. '!$L$28),0))</f>
        <v>86.666666666666671</v>
      </c>
      <c r="W110" s="288"/>
      <c r="X110" s="287"/>
      <c r="Y110" s="287"/>
    </row>
    <row r="111" spans="2:25">
      <c r="B111" s="284"/>
      <c r="C111" s="284"/>
      <c r="D111" s="285"/>
      <c r="E111" s="284"/>
      <c r="F111" s="284"/>
      <c r="G111" s="285"/>
      <c r="H111" s="284"/>
      <c r="I111" s="284"/>
      <c r="J111" s="285"/>
      <c r="K111" s="284"/>
      <c r="L111" s="284"/>
      <c r="M111" s="285"/>
      <c r="N111" s="286"/>
      <c r="O111" s="287">
        <v>68</v>
      </c>
      <c r="P111" s="287">
        <f>IF(O111&lt;='B 2. B 3. '!$L$25,'B 2. B 3. '!$M$25,IF(AND(O111&lt;='B 2. B 3. '!$L$24,O111&gt;'B 2. B 3. '!$L$25),0+(('B 2. B 3. '!$M$25-'B 2. B 3. '!$M$24)/('B 2. B 3. '!$L$25-'B 2. B 3. '!$L$24))*(O111-'B 2. B 3. '!$L$24),0))</f>
        <v>14.814814814814815</v>
      </c>
      <c r="Q111" s="288"/>
      <c r="R111" s="287">
        <v>68</v>
      </c>
      <c r="S111" s="287">
        <f>IF(R111&lt;='B 2. B 3. '!$L$27,'B 2. B 3. '!$M$27,IF(AND(R111&lt;='B 2. B 3. '!$L$26,R111&gt;'B 2. B 3. '!$L$27),0+(('B 2. B 3. '!$M$27-'B 2. B 3. '!$M$26)/('B 2. B 3. '!$L$27-'B 2. B 3. '!$L$26))*(R111-'B 2. B 3. '!$L$26),0))</f>
        <v>13.333333333333334</v>
      </c>
      <c r="T111" s="288"/>
      <c r="U111" s="287">
        <v>68</v>
      </c>
      <c r="V111" s="287">
        <f>IF(U111&lt;='B 2. B 3. '!$L$29,'B 2. B 3. '!$M$29,IF(AND(U111&lt;='B 2. B 3. '!$L$28,U111&gt;'B 2. B 3. '!$L$29),0+(('B 2. B 3. '!$M$29-'B 2. B 3. '!$M$28)/('B 2. B 3. '!$L$29-'B 2. B 3. '!$L$28))*(U111-'B 2. B 3. '!$L$28),0))</f>
        <v>84.444444444444443</v>
      </c>
      <c r="W111" s="288"/>
      <c r="X111" s="287"/>
      <c r="Y111" s="287"/>
    </row>
    <row r="112" spans="2:25">
      <c r="B112" s="284"/>
      <c r="C112" s="284"/>
      <c r="D112" s="285"/>
      <c r="E112" s="284"/>
      <c r="F112" s="284"/>
      <c r="G112" s="285"/>
      <c r="H112" s="284"/>
      <c r="I112" s="284"/>
      <c r="J112" s="285"/>
      <c r="K112" s="284"/>
      <c r="L112" s="284"/>
      <c r="M112" s="285"/>
      <c r="N112" s="286"/>
      <c r="O112" s="287">
        <v>70</v>
      </c>
      <c r="P112" s="287">
        <f>IF(O112&lt;='B 2. B 3. '!$L$25,'B 2. B 3. '!$M$25,IF(AND(O112&lt;='B 2. B 3. '!$L$24,O112&gt;'B 2. B 3. '!$L$25),0+(('B 2. B 3. '!$M$25-'B 2. B 3. '!$M$24)/('B 2. B 3. '!$L$25-'B 2. B 3. '!$L$24))*(O112-'B 2. B 3. '!$L$24),0))</f>
        <v>12.962962962962964</v>
      </c>
      <c r="Q112" s="288"/>
      <c r="R112" s="287">
        <v>70</v>
      </c>
      <c r="S112" s="287">
        <f>IF(R112&lt;='B 2. B 3. '!$L$27,'B 2. B 3. '!$M$27,IF(AND(R112&lt;='B 2. B 3. '!$L$26,R112&gt;'B 2. B 3. '!$L$27),0+(('B 2. B 3. '!$M$27-'B 2. B 3. '!$M$26)/('B 2. B 3. '!$L$27-'B 2. B 3. '!$L$26))*(R112-'B 2. B 3. '!$L$26),0))</f>
        <v>11.666666666666668</v>
      </c>
      <c r="T112" s="288"/>
      <c r="U112" s="287">
        <v>70</v>
      </c>
      <c r="V112" s="287">
        <f>IF(U112&lt;='B 2. B 3. '!$L$29,'B 2. B 3. '!$M$29,IF(AND(U112&lt;='B 2. B 3. '!$L$28,U112&gt;'B 2. B 3. '!$L$29),0+(('B 2. B 3. '!$M$29-'B 2. B 3. '!$M$28)/('B 2. B 3. '!$L$29-'B 2. B 3. '!$L$28))*(U112-'B 2. B 3. '!$L$28),0))</f>
        <v>82.222222222222229</v>
      </c>
      <c r="W112" s="288"/>
      <c r="X112" s="287"/>
      <c r="Y112" s="287"/>
    </row>
    <row r="113" spans="2:25">
      <c r="B113" s="284"/>
      <c r="C113" s="284"/>
      <c r="D113" s="285"/>
      <c r="E113" s="284"/>
      <c r="F113" s="284"/>
      <c r="G113" s="285"/>
      <c r="H113" s="284"/>
      <c r="I113" s="284"/>
      <c r="J113" s="285"/>
      <c r="K113" s="284"/>
      <c r="L113" s="284"/>
      <c r="M113" s="285"/>
      <c r="N113" s="286"/>
      <c r="O113" s="287">
        <v>72</v>
      </c>
      <c r="P113" s="287">
        <f>IF(O113&lt;='B 2. B 3. '!$L$25,'B 2. B 3. '!$M$25,IF(AND(O113&lt;='B 2. B 3. '!$L$24,O113&gt;'B 2. B 3. '!$L$25),0+(('B 2. B 3. '!$M$25-'B 2. B 3. '!$M$24)/('B 2. B 3. '!$L$25-'B 2. B 3. '!$L$24))*(O113-'B 2. B 3. '!$L$24),0))</f>
        <v>11.111111111111111</v>
      </c>
      <c r="Q113" s="288"/>
      <c r="R113" s="287">
        <v>72</v>
      </c>
      <c r="S113" s="287">
        <f>IF(R113&lt;='B 2. B 3. '!$L$27,'B 2. B 3. '!$M$27,IF(AND(R113&lt;='B 2. B 3. '!$L$26,R113&gt;'B 2. B 3. '!$L$27),0+(('B 2. B 3. '!$M$27-'B 2. B 3. '!$M$26)/('B 2. B 3. '!$L$27-'B 2. B 3. '!$L$26))*(R113-'B 2. B 3. '!$L$26),0))</f>
        <v>10</v>
      </c>
      <c r="T113" s="288"/>
      <c r="U113" s="287">
        <v>72</v>
      </c>
      <c r="V113" s="287">
        <f>IF(U113&lt;='B 2. B 3. '!$L$29,'B 2. B 3. '!$M$29,IF(AND(U113&lt;='B 2. B 3. '!$L$28,U113&gt;'B 2. B 3. '!$L$29),0+(('B 2. B 3. '!$M$29-'B 2. B 3. '!$M$28)/('B 2. B 3. '!$L$29-'B 2. B 3. '!$L$28))*(U113-'B 2. B 3. '!$L$28),0))</f>
        <v>80</v>
      </c>
      <c r="W113" s="288"/>
      <c r="X113" s="287"/>
      <c r="Y113" s="287"/>
    </row>
    <row r="114" spans="2:25">
      <c r="B114" s="284"/>
      <c r="C114" s="284"/>
      <c r="D114" s="285"/>
      <c r="E114" s="284"/>
      <c r="F114" s="284"/>
      <c r="G114" s="285"/>
      <c r="H114" s="284"/>
      <c r="I114" s="284"/>
      <c r="J114" s="285"/>
      <c r="K114" s="284"/>
      <c r="L114" s="284"/>
      <c r="M114" s="285"/>
      <c r="N114" s="286"/>
      <c r="O114" s="287">
        <v>74</v>
      </c>
      <c r="P114" s="287">
        <f>IF(O114&lt;='B 2. B 3. '!$L$25,'B 2. B 3. '!$M$25,IF(AND(O114&lt;='B 2. B 3. '!$L$24,O114&gt;'B 2. B 3. '!$L$25),0+(('B 2. B 3. '!$M$25-'B 2. B 3. '!$M$24)/('B 2. B 3. '!$L$25-'B 2. B 3. '!$L$24))*(O114-'B 2. B 3. '!$L$24),0))</f>
        <v>9.2592592592592595</v>
      </c>
      <c r="Q114" s="288"/>
      <c r="R114" s="287">
        <v>74</v>
      </c>
      <c r="S114" s="287">
        <f>IF(R114&lt;='B 2. B 3. '!$L$27,'B 2. B 3. '!$M$27,IF(AND(R114&lt;='B 2. B 3. '!$L$26,R114&gt;'B 2. B 3. '!$L$27),0+(('B 2. B 3. '!$M$27-'B 2. B 3. '!$M$26)/('B 2. B 3. '!$L$27-'B 2. B 3. '!$L$26))*(R114-'B 2. B 3. '!$L$26),0))</f>
        <v>8.3333333333333339</v>
      </c>
      <c r="T114" s="288"/>
      <c r="U114" s="287">
        <v>74</v>
      </c>
      <c r="V114" s="287">
        <f>IF(U114&lt;='B 2. B 3. '!$L$29,'B 2. B 3. '!$M$29,IF(AND(U114&lt;='B 2. B 3. '!$L$28,U114&gt;'B 2. B 3. '!$L$29),0+(('B 2. B 3. '!$M$29-'B 2. B 3. '!$M$28)/('B 2. B 3. '!$L$29-'B 2. B 3. '!$L$28))*(U114-'B 2. B 3. '!$L$28),0))</f>
        <v>77.777777777777786</v>
      </c>
      <c r="W114" s="288"/>
      <c r="X114" s="287"/>
      <c r="Y114" s="287"/>
    </row>
    <row r="115" spans="2:25">
      <c r="B115" s="284"/>
      <c r="C115" s="284"/>
      <c r="D115" s="285"/>
      <c r="E115" s="284"/>
      <c r="F115" s="284"/>
      <c r="G115" s="285"/>
      <c r="H115" s="284"/>
      <c r="I115" s="284"/>
      <c r="J115" s="285"/>
      <c r="K115" s="284"/>
      <c r="L115" s="284"/>
      <c r="M115" s="285"/>
      <c r="N115" s="286"/>
      <c r="O115" s="287">
        <v>76</v>
      </c>
      <c r="P115" s="287">
        <f>IF(O115&lt;='B 2. B 3. '!$L$25,'B 2. B 3. '!$M$25,IF(AND(O115&lt;='B 2. B 3. '!$L$24,O115&gt;'B 2. B 3. '!$L$25),0+(('B 2. B 3. '!$M$25-'B 2. B 3. '!$M$24)/('B 2. B 3. '!$L$25-'B 2. B 3. '!$L$24))*(O115-'B 2. B 3. '!$L$24),0))</f>
        <v>7.4074074074074074</v>
      </c>
      <c r="Q115" s="288"/>
      <c r="R115" s="287">
        <v>76</v>
      </c>
      <c r="S115" s="287">
        <f>IF(R115&lt;='B 2. B 3. '!$L$27,'B 2. B 3. '!$M$27,IF(AND(R115&lt;='B 2. B 3. '!$L$26,R115&gt;'B 2. B 3. '!$L$27),0+(('B 2. B 3. '!$M$27-'B 2. B 3. '!$M$26)/('B 2. B 3. '!$L$27-'B 2. B 3. '!$L$26))*(R115-'B 2. B 3. '!$L$26),0))</f>
        <v>6.666666666666667</v>
      </c>
      <c r="T115" s="288"/>
      <c r="U115" s="287">
        <v>76</v>
      </c>
      <c r="V115" s="287">
        <f>IF(U115&lt;='B 2. B 3. '!$L$29,'B 2. B 3. '!$M$29,IF(AND(U115&lt;='B 2. B 3. '!$L$28,U115&gt;'B 2. B 3. '!$L$29),0+(('B 2. B 3. '!$M$29-'B 2. B 3. '!$M$28)/('B 2. B 3. '!$L$29-'B 2. B 3. '!$L$28))*(U115-'B 2. B 3. '!$L$28),0))</f>
        <v>75.555555555555557</v>
      </c>
      <c r="W115" s="288"/>
      <c r="X115" s="287"/>
      <c r="Y115" s="287"/>
    </row>
    <row r="116" spans="2:25">
      <c r="B116" s="284"/>
      <c r="C116" s="284"/>
      <c r="D116" s="285"/>
      <c r="E116" s="284"/>
      <c r="F116" s="284"/>
      <c r="G116" s="285"/>
      <c r="H116" s="284"/>
      <c r="I116" s="284"/>
      <c r="J116" s="285"/>
      <c r="K116" s="284"/>
      <c r="L116" s="284"/>
      <c r="M116" s="285"/>
      <c r="N116" s="286"/>
      <c r="O116" s="287">
        <v>78</v>
      </c>
      <c r="P116" s="287">
        <f>IF(O116&lt;='B 2. B 3. '!$L$25,'B 2. B 3. '!$M$25,IF(AND(O116&lt;='B 2. B 3. '!$L$24,O116&gt;'B 2. B 3. '!$L$25),0+(('B 2. B 3. '!$M$25-'B 2. B 3. '!$M$24)/('B 2. B 3. '!$L$25-'B 2. B 3. '!$L$24))*(O116-'B 2. B 3. '!$L$24),0))</f>
        <v>5.5555555555555554</v>
      </c>
      <c r="Q116" s="288"/>
      <c r="R116" s="287">
        <v>78</v>
      </c>
      <c r="S116" s="287">
        <f>IF(R116&lt;='B 2. B 3. '!$L$27,'B 2. B 3. '!$M$27,IF(AND(R116&lt;='B 2. B 3. '!$L$26,R116&gt;'B 2. B 3. '!$L$27),0+(('B 2. B 3. '!$M$27-'B 2. B 3. '!$M$26)/('B 2. B 3. '!$L$27-'B 2. B 3. '!$L$26))*(R116-'B 2. B 3. '!$L$26),0))</f>
        <v>5</v>
      </c>
      <c r="T116" s="288"/>
      <c r="U116" s="287">
        <v>78</v>
      </c>
      <c r="V116" s="287">
        <f>IF(U116&lt;='B 2. B 3. '!$L$29,'B 2. B 3. '!$M$29,IF(AND(U116&lt;='B 2. B 3. '!$L$28,U116&gt;'B 2. B 3. '!$L$29),0+(('B 2. B 3. '!$M$29-'B 2. B 3. '!$M$28)/('B 2. B 3. '!$L$29-'B 2. B 3. '!$L$28))*(U116-'B 2. B 3. '!$L$28),0))</f>
        <v>73.333333333333343</v>
      </c>
      <c r="W116" s="288"/>
      <c r="X116" s="287"/>
      <c r="Y116" s="287"/>
    </row>
    <row r="117" spans="2:25">
      <c r="B117" s="284"/>
      <c r="C117" s="284"/>
      <c r="D117" s="285"/>
      <c r="E117" s="284"/>
      <c r="F117" s="284"/>
      <c r="G117" s="285"/>
      <c r="H117" s="284"/>
      <c r="I117" s="284"/>
      <c r="J117" s="285"/>
      <c r="K117" s="284"/>
      <c r="L117" s="284"/>
      <c r="M117" s="285"/>
      <c r="N117" s="286"/>
      <c r="O117" s="287">
        <v>80</v>
      </c>
      <c r="P117" s="287">
        <f>IF(O117&lt;='B 2. B 3. '!$L$25,'B 2. B 3. '!$M$25,IF(AND(O117&lt;='B 2. B 3. '!$L$24,O117&gt;'B 2. B 3. '!$L$25),0+(('B 2. B 3. '!$M$25-'B 2. B 3. '!$M$24)/('B 2. B 3. '!$L$25-'B 2. B 3. '!$L$24))*(O117-'B 2. B 3. '!$L$24),0))</f>
        <v>3.7037037037037037</v>
      </c>
      <c r="Q117" s="288"/>
      <c r="R117" s="287">
        <v>80</v>
      </c>
      <c r="S117" s="287">
        <f>IF(R117&lt;='B 2. B 3. '!$L$27,'B 2. B 3. '!$M$27,IF(AND(R117&lt;='B 2. B 3. '!$L$26,R117&gt;'B 2. B 3. '!$L$27),0+(('B 2. B 3. '!$M$27-'B 2. B 3. '!$M$26)/('B 2. B 3. '!$L$27-'B 2. B 3. '!$L$26))*(R117-'B 2. B 3. '!$L$26),0))</f>
        <v>3.3333333333333335</v>
      </c>
      <c r="T117" s="288"/>
      <c r="U117" s="287">
        <v>80</v>
      </c>
      <c r="V117" s="287">
        <f>IF(U117&lt;='B 2. B 3. '!$L$29,'B 2. B 3. '!$M$29,IF(AND(U117&lt;='B 2. B 3. '!$L$28,U117&gt;'B 2. B 3. '!$L$29),0+(('B 2. B 3. '!$M$29-'B 2. B 3. '!$M$28)/('B 2. B 3. '!$L$29-'B 2. B 3. '!$L$28))*(U117-'B 2. B 3. '!$L$28),0))</f>
        <v>71.111111111111114</v>
      </c>
      <c r="W117" s="288"/>
      <c r="X117" s="287"/>
      <c r="Y117" s="287"/>
    </row>
    <row r="118" spans="2:25">
      <c r="B118" s="284"/>
      <c r="C118" s="284"/>
      <c r="D118" s="285"/>
      <c r="E118" s="284"/>
      <c r="F118" s="284"/>
      <c r="G118" s="285"/>
      <c r="H118" s="284"/>
      <c r="I118" s="284"/>
      <c r="J118" s="285"/>
      <c r="K118" s="284"/>
      <c r="L118" s="284"/>
      <c r="M118" s="285"/>
      <c r="N118" s="286"/>
      <c r="O118" s="287">
        <v>82</v>
      </c>
      <c r="P118" s="287">
        <f>IF(O118&lt;='B 2. B 3. '!$L$25,'B 2. B 3. '!$M$25,IF(AND(O118&lt;='B 2. B 3. '!$L$24,O118&gt;'B 2. B 3. '!$L$25),0+(('B 2. B 3. '!$M$25-'B 2. B 3. '!$M$24)/('B 2. B 3. '!$L$25-'B 2. B 3. '!$L$24))*(O118-'B 2. B 3. '!$L$24),0))</f>
        <v>1.8518518518518519</v>
      </c>
      <c r="Q118" s="288"/>
      <c r="R118" s="287">
        <v>82</v>
      </c>
      <c r="S118" s="287">
        <f>IF(R118&lt;='B 2. B 3. '!$L$27,'B 2. B 3. '!$M$27,IF(AND(R118&lt;='B 2. B 3. '!$L$26,R118&gt;'B 2. B 3. '!$L$27),0+(('B 2. B 3. '!$M$27-'B 2. B 3. '!$M$26)/('B 2. B 3. '!$L$27-'B 2. B 3. '!$L$26))*(R118-'B 2. B 3. '!$L$26),0))</f>
        <v>1.6666666666666667</v>
      </c>
      <c r="T118" s="288"/>
      <c r="U118" s="287">
        <v>82</v>
      </c>
      <c r="V118" s="287">
        <f>IF(U118&lt;='B 2. B 3. '!$L$29,'B 2. B 3. '!$M$29,IF(AND(U118&lt;='B 2. B 3. '!$L$28,U118&gt;'B 2. B 3. '!$L$29),0+(('B 2. B 3. '!$M$29-'B 2. B 3. '!$M$28)/('B 2. B 3. '!$L$29-'B 2. B 3. '!$L$28))*(U118-'B 2. B 3. '!$L$28),0))</f>
        <v>68.888888888888886</v>
      </c>
      <c r="W118" s="288"/>
      <c r="X118" s="287"/>
      <c r="Y118" s="287"/>
    </row>
    <row r="119" spans="2:25">
      <c r="B119" s="284"/>
      <c r="C119" s="284"/>
      <c r="D119" s="285"/>
      <c r="E119" s="284"/>
      <c r="F119" s="284"/>
      <c r="G119" s="285"/>
      <c r="H119" s="284"/>
      <c r="I119" s="284"/>
      <c r="J119" s="285"/>
      <c r="K119" s="284"/>
      <c r="L119" s="284"/>
      <c r="M119" s="285"/>
      <c r="N119" s="286"/>
      <c r="O119" s="287">
        <v>84</v>
      </c>
      <c r="P119" s="287">
        <f>IF(O119&lt;='B 2. B 3. '!$L$25,'B 2. B 3. '!$M$25,IF(AND(O119&lt;='B 2. B 3. '!$L$24,O119&gt;'B 2. B 3. '!$L$25),0+(('B 2. B 3. '!$M$25-'B 2. B 3. '!$M$24)/('B 2. B 3. '!$L$25-'B 2. B 3. '!$L$24))*(O119-'B 2. B 3. '!$L$24),0))</f>
        <v>0</v>
      </c>
      <c r="Q119" s="288"/>
      <c r="R119" s="287">
        <v>84</v>
      </c>
      <c r="S119" s="287">
        <f>IF(R119&lt;='B 2. B 3. '!$L$27,'B 2. B 3. '!$M$27,IF(AND(R119&lt;='B 2. B 3. '!$L$26,R119&gt;'B 2. B 3. '!$L$27),0+(('B 2. B 3. '!$M$27-'B 2. B 3. '!$M$26)/('B 2. B 3. '!$L$27-'B 2. B 3. '!$L$26))*(R119-'B 2. B 3. '!$L$26),0))</f>
        <v>0</v>
      </c>
      <c r="T119" s="288"/>
      <c r="U119" s="287">
        <v>84</v>
      </c>
      <c r="V119" s="287">
        <f>IF(U119&lt;='B 2. B 3. '!$L$29,'B 2. B 3. '!$M$29,IF(AND(U119&lt;='B 2. B 3. '!$L$28,U119&gt;'B 2. B 3. '!$L$29),0+(('B 2. B 3. '!$M$29-'B 2. B 3. '!$M$28)/('B 2. B 3. '!$L$29-'B 2. B 3. '!$L$28))*(U119-'B 2. B 3. '!$L$28),0))</f>
        <v>66.666666666666671</v>
      </c>
      <c r="W119" s="288"/>
      <c r="X119" s="287"/>
      <c r="Y119" s="287"/>
    </row>
    <row r="120" spans="2:25">
      <c r="B120" s="284"/>
      <c r="C120" s="284"/>
      <c r="D120" s="285"/>
      <c r="E120" s="284"/>
      <c r="F120" s="284"/>
      <c r="G120" s="285"/>
      <c r="H120" s="284"/>
      <c r="I120" s="284"/>
      <c r="J120" s="285"/>
      <c r="K120" s="284"/>
      <c r="L120" s="284"/>
      <c r="M120" s="285"/>
      <c r="N120" s="286"/>
      <c r="O120" s="287">
        <v>86</v>
      </c>
      <c r="P120" s="287">
        <f>IF(O120&lt;='B 2. B 3. '!$L$25,'B 2. B 3. '!$M$25,IF(AND(O120&lt;='B 2. B 3. '!$L$24,O120&gt;'B 2. B 3. '!$L$25),0+(('B 2. B 3. '!$M$25-'B 2. B 3. '!$M$24)/('B 2. B 3. '!$L$25-'B 2. B 3. '!$L$24))*(O120-'B 2. B 3. '!$L$24),0))</f>
        <v>0</v>
      </c>
      <c r="Q120" s="288"/>
      <c r="R120" s="287">
        <v>86</v>
      </c>
      <c r="S120" s="287">
        <f>IF(R120&lt;='B 2. B 3. '!$L$27,'B 2. B 3. '!$M$27,IF(AND(R120&lt;='B 2. B 3. '!$L$26,R120&gt;'B 2. B 3. '!$L$27),0+(('B 2. B 3. '!$M$27-'B 2. B 3. '!$M$26)/('B 2. B 3. '!$L$27-'B 2. B 3. '!$L$26))*(R120-'B 2. B 3. '!$L$26),0))</f>
        <v>0</v>
      </c>
      <c r="T120" s="288"/>
      <c r="U120" s="287">
        <v>86</v>
      </c>
      <c r="V120" s="287">
        <f>IF(U120&lt;='B 2. B 3. '!$L$29,'B 2. B 3. '!$M$29,IF(AND(U120&lt;='B 2. B 3. '!$L$28,U120&gt;'B 2. B 3. '!$L$29),0+(('B 2. B 3. '!$M$29-'B 2. B 3. '!$M$28)/('B 2. B 3. '!$L$29-'B 2. B 3. '!$L$28))*(U120-'B 2. B 3. '!$L$28),0))</f>
        <v>64.444444444444443</v>
      </c>
      <c r="W120" s="288"/>
      <c r="X120" s="287"/>
      <c r="Y120" s="287"/>
    </row>
    <row r="121" spans="2:25">
      <c r="B121" s="284"/>
      <c r="C121" s="284"/>
      <c r="D121" s="285"/>
      <c r="E121" s="284"/>
      <c r="F121" s="284"/>
      <c r="G121" s="285"/>
      <c r="H121" s="284"/>
      <c r="I121" s="284"/>
      <c r="J121" s="285"/>
      <c r="K121" s="284"/>
      <c r="L121" s="284"/>
      <c r="M121" s="285"/>
      <c r="N121" s="286"/>
      <c r="O121" s="287">
        <v>88</v>
      </c>
      <c r="P121" s="287">
        <f>IF(O121&lt;='B 2. B 3. '!$L$25,'B 2. B 3. '!$M$25,IF(AND(O121&lt;='B 2. B 3. '!$L$24,O121&gt;'B 2. B 3. '!$L$25),0+(('B 2. B 3. '!$M$25-'B 2. B 3. '!$M$24)/('B 2. B 3. '!$L$25-'B 2. B 3. '!$L$24))*(O121-'B 2. B 3. '!$L$24),0))</f>
        <v>0</v>
      </c>
      <c r="Q121" s="288"/>
      <c r="R121" s="287">
        <v>88</v>
      </c>
      <c r="S121" s="287">
        <f>IF(R121&lt;='B 2. B 3. '!$L$27,'B 2. B 3. '!$M$27,IF(AND(R121&lt;='B 2. B 3. '!$L$26,R121&gt;'B 2. B 3. '!$L$27),0+(('B 2. B 3. '!$M$27-'B 2. B 3. '!$M$26)/('B 2. B 3. '!$L$27-'B 2. B 3. '!$L$26))*(R121-'B 2. B 3. '!$L$26),0))</f>
        <v>0</v>
      </c>
      <c r="T121" s="288"/>
      <c r="U121" s="287">
        <v>88</v>
      </c>
      <c r="V121" s="287">
        <f>IF(U121&lt;='B 2. B 3. '!$L$29,'B 2. B 3. '!$M$29,IF(AND(U121&lt;='B 2. B 3. '!$L$28,U121&gt;'B 2. B 3. '!$L$29),0+(('B 2. B 3. '!$M$29-'B 2. B 3. '!$M$28)/('B 2. B 3. '!$L$29-'B 2. B 3. '!$L$28))*(U121-'B 2. B 3. '!$L$28),0))</f>
        <v>62.222222222222229</v>
      </c>
      <c r="W121" s="288"/>
      <c r="X121" s="287"/>
      <c r="Y121" s="287"/>
    </row>
    <row r="122" spans="2:25">
      <c r="B122" s="284"/>
      <c r="C122" s="284"/>
      <c r="D122" s="285"/>
      <c r="E122" s="284"/>
      <c r="F122" s="284"/>
      <c r="G122" s="285"/>
      <c r="H122" s="284"/>
      <c r="I122" s="284"/>
      <c r="J122" s="285"/>
      <c r="K122" s="284"/>
      <c r="L122" s="284"/>
      <c r="M122" s="285"/>
      <c r="N122" s="286"/>
      <c r="O122" s="287">
        <v>90</v>
      </c>
      <c r="P122" s="287">
        <f>IF(O122&lt;='B 2. B 3. '!$L$25,'B 2. B 3. '!$M$25,IF(AND(O122&lt;='B 2. B 3. '!$L$24,O122&gt;'B 2. B 3. '!$L$25),0+(('B 2. B 3. '!$M$25-'B 2. B 3. '!$M$24)/('B 2. B 3. '!$L$25-'B 2. B 3. '!$L$24))*(O122-'B 2. B 3. '!$L$24),0))</f>
        <v>0</v>
      </c>
      <c r="Q122" s="288"/>
      <c r="R122" s="287">
        <v>90</v>
      </c>
      <c r="S122" s="287">
        <f>IF(R122&lt;='B 2. B 3. '!$L$27,'B 2. B 3. '!$M$27,IF(AND(R122&lt;='B 2. B 3. '!$L$26,R122&gt;'B 2. B 3. '!$L$27),0+(('B 2. B 3. '!$M$27-'B 2. B 3. '!$M$26)/('B 2. B 3. '!$L$27-'B 2. B 3. '!$L$26))*(R122-'B 2. B 3. '!$L$26),0))</f>
        <v>0</v>
      </c>
      <c r="T122" s="288"/>
      <c r="U122" s="287">
        <v>90</v>
      </c>
      <c r="V122" s="287">
        <f>IF(U122&lt;='B 2. B 3. '!$L$29,'B 2. B 3. '!$M$29,IF(AND(U122&lt;='B 2. B 3. '!$L$28,U122&gt;'B 2. B 3. '!$L$29),0+(('B 2. B 3. '!$M$29-'B 2. B 3. '!$M$28)/('B 2. B 3. '!$L$29-'B 2. B 3. '!$L$28))*(U122-'B 2. B 3. '!$L$28),0))</f>
        <v>60</v>
      </c>
      <c r="W122" s="288"/>
      <c r="X122" s="287"/>
      <c r="Y122" s="287"/>
    </row>
    <row r="123" spans="2:25">
      <c r="B123" s="284"/>
      <c r="C123" s="284"/>
      <c r="D123" s="285"/>
      <c r="E123" s="284"/>
      <c r="F123" s="284"/>
      <c r="G123" s="285"/>
      <c r="H123" s="284"/>
      <c r="I123" s="284"/>
      <c r="J123" s="285"/>
      <c r="K123" s="284"/>
      <c r="L123" s="284"/>
      <c r="M123" s="285"/>
      <c r="N123" s="286"/>
      <c r="O123" s="287">
        <v>92</v>
      </c>
      <c r="P123" s="287">
        <f>IF(O123&lt;='B 2. B 3. '!$L$25,'B 2. B 3. '!$M$25,IF(AND(O123&lt;='B 2. B 3. '!$L$24,O123&gt;'B 2. B 3. '!$L$25),0+(('B 2. B 3. '!$M$25-'B 2. B 3. '!$M$24)/('B 2. B 3. '!$L$25-'B 2. B 3. '!$L$24))*(O123-'B 2. B 3. '!$L$24),0))</f>
        <v>0</v>
      </c>
      <c r="Q123" s="288"/>
      <c r="R123" s="287">
        <v>92</v>
      </c>
      <c r="S123" s="287">
        <f>IF(R123&lt;='B 2. B 3. '!$L$27,'B 2. B 3. '!$M$27,IF(AND(R123&lt;='B 2. B 3. '!$L$26,R123&gt;'B 2. B 3. '!$L$27),0+(('B 2. B 3. '!$M$27-'B 2. B 3. '!$M$26)/('B 2. B 3. '!$L$27-'B 2. B 3. '!$L$26))*(R123-'B 2. B 3. '!$L$26),0))</f>
        <v>0</v>
      </c>
      <c r="T123" s="288"/>
      <c r="U123" s="287">
        <v>92</v>
      </c>
      <c r="V123" s="287">
        <f>IF(U123&lt;='B 2. B 3. '!$L$29,'B 2. B 3. '!$M$29,IF(AND(U123&lt;='B 2. B 3. '!$L$28,U123&gt;'B 2. B 3. '!$L$29),0+(('B 2. B 3. '!$M$29-'B 2. B 3. '!$M$28)/('B 2. B 3. '!$L$29-'B 2. B 3. '!$L$28))*(U123-'B 2. B 3. '!$L$28),0))</f>
        <v>57.777777777777779</v>
      </c>
      <c r="W123" s="288"/>
      <c r="X123" s="287"/>
      <c r="Y123" s="287"/>
    </row>
    <row r="124" spans="2:25">
      <c r="B124" s="284"/>
      <c r="C124" s="284"/>
      <c r="D124" s="285"/>
      <c r="E124" s="284"/>
      <c r="F124" s="284"/>
      <c r="G124" s="285"/>
      <c r="H124" s="284"/>
      <c r="I124" s="284"/>
      <c r="J124" s="285"/>
      <c r="K124" s="284"/>
      <c r="L124" s="284"/>
      <c r="M124" s="285"/>
      <c r="N124" s="286"/>
      <c r="O124" s="287">
        <v>94</v>
      </c>
      <c r="P124" s="287">
        <f>IF(O124&lt;='B 2. B 3. '!$L$25,'B 2. B 3. '!$M$25,IF(AND(O124&lt;='B 2. B 3. '!$L$24,O124&gt;'B 2. B 3. '!$L$25),0+(('B 2. B 3. '!$M$25-'B 2. B 3. '!$M$24)/('B 2. B 3. '!$L$25-'B 2. B 3. '!$L$24))*(O124-'B 2. B 3. '!$L$24),0))</f>
        <v>0</v>
      </c>
      <c r="Q124" s="288"/>
      <c r="R124" s="287">
        <v>94</v>
      </c>
      <c r="S124" s="287">
        <f>IF(R124&lt;='B 2. B 3. '!$L$27,'B 2. B 3. '!$M$27,IF(AND(R124&lt;='B 2. B 3. '!$L$26,R124&gt;'B 2. B 3. '!$L$27),0+(('B 2. B 3. '!$M$27-'B 2. B 3. '!$M$26)/('B 2. B 3. '!$L$27-'B 2. B 3. '!$L$26))*(R124-'B 2. B 3. '!$L$26),0))</f>
        <v>0</v>
      </c>
      <c r="T124" s="288"/>
      <c r="U124" s="287">
        <v>94</v>
      </c>
      <c r="V124" s="287">
        <f>IF(U124&lt;='B 2. B 3. '!$L$29,'B 2. B 3. '!$M$29,IF(AND(U124&lt;='B 2. B 3. '!$L$28,U124&gt;'B 2. B 3. '!$L$29),0+(('B 2. B 3. '!$M$29-'B 2. B 3. '!$M$28)/('B 2. B 3. '!$L$29-'B 2. B 3. '!$L$28))*(U124-'B 2. B 3. '!$L$28),0))</f>
        <v>55.555555555555557</v>
      </c>
      <c r="W124" s="288"/>
      <c r="X124" s="287"/>
      <c r="Y124" s="287"/>
    </row>
    <row r="125" spans="2:25">
      <c r="B125" s="284"/>
      <c r="C125" s="284"/>
      <c r="D125" s="285"/>
      <c r="E125" s="284"/>
      <c r="F125" s="284"/>
      <c r="G125" s="285"/>
      <c r="H125" s="284"/>
      <c r="I125" s="284"/>
      <c r="J125" s="285"/>
      <c r="K125" s="284"/>
      <c r="L125" s="284"/>
      <c r="M125" s="285"/>
      <c r="N125" s="286"/>
      <c r="O125" s="287">
        <v>96</v>
      </c>
      <c r="P125" s="287">
        <f>IF(O125&lt;='B 2. B 3. '!$L$25,'B 2. B 3. '!$M$25,IF(AND(O125&lt;='B 2. B 3. '!$L$24,O125&gt;'B 2. B 3. '!$L$25),0+(('B 2. B 3. '!$M$25-'B 2. B 3. '!$M$24)/('B 2. B 3. '!$L$25-'B 2. B 3. '!$L$24))*(O125-'B 2. B 3. '!$L$24),0))</f>
        <v>0</v>
      </c>
      <c r="Q125" s="288"/>
      <c r="R125" s="287">
        <v>96</v>
      </c>
      <c r="S125" s="287">
        <f>IF(R125&lt;='B 2. B 3. '!$L$27,'B 2. B 3. '!$M$27,IF(AND(R125&lt;='B 2. B 3. '!$L$26,R125&gt;'B 2. B 3. '!$L$27),0+(('B 2. B 3. '!$M$27-'B 2. B 3. '!$M$26)/('B 2. B 3. '!$L$27-'B 2. B 3. '!$L$26))*(R125-'B 2. B 3. '!$L$26),0))</f>
        <v>0</v>
      </c>
      <c r="T125" s="288"/>
      <c r="U125" s="287">
        <v>96</v>
      </c>
      <c r="V125" s="287">
        <f>IF(U125&lt;='B 2. B 3. '!$L$29,'B 2. B 3. '!$M$29,IF(AND(U125&lt;='B 2. B 3. '!$L$28,U125&gt;'B 2. B 3. '!$L$29),0+(('B 2. B 3. '!$M$29-'B 2. B 3. '!$M$28)/('B 2. B 3. '!$L$29-'B 2. B 3. '!$L$28))*(U125-'B 2. B 3. '!$L$28),0))</f>
        <v>53.333333333333336</v>
      </c>
      <c r="W125" s="288"/>
      <c r="X125" s="287"/>
      <c r="Y125" s="287"/>
    </row>
    <row r="126" spans="2:25">
      <c r="B126" s="284"/>
      <c r="C126" s="284"/>
      <c r="D126" s="285"/>
      <c r="E126" s="284"/>
      <c r="F126" s="284"/>
      <c r="G126" s="285"/>
      <c r="H126" s="284"/>
      <c r="I126" s="284"/>
      <c r="J126" s="285"/>
      <c r="K126" s="284"/>
      <c r="L126" s="284"/>
      <c r="M126" s="285"/>
      <c r="N126" s="286"/>
      <c r="O126" s="287">
        <v>98</v>
      </c>
      <c r="P126" s="287">
        <f>IF(O126&lt;='B 2. B 3. '!$L$25,'B 2. B 3. '!$M$25,IF(AND(O126&lt;='B 2. B 3. '!$L$24,O126&gt;'B 2. B 3. '!$L$25),0+(('B 2. B 3. '!$M$25-'B 2. B 3. '!$M$24)/('B 2. B 3. '!$L$25-'B 2. B 3. '!$L$24))*(O126-'B 2. B 3. '!$L$24),0))</f>
        <v>0</v>
      </c>
      <c r="Q126" s="288"/>
      <c r="R126" s="287"/>
      <c r="S126" s="287"/>
      <c r="T126" s="288"/>
      <c r="U126" s="287">
        <v>98</v>
      </c>
      <c r="V126" s="287">
        <f>IF(U126&lt;='B 2. B 3. '!$L$29,'B 2. B 3. '!$M$29,IF(AND(U126&lt;='B 2. B 3. '!$L$28,U126&gt;'B 2. B 3. '!$L$29),0+(('B 2. B 3. '!$M$29-'B 2. B 3. '!$M$28)/('B 2. B 3. '!$L$29-'B 2. B 3. '!$L$28))*(U126-'B 2. B 3. '!$L$28),0))</f>
        <v>51.111111111111114</v>
      </c>
      <c r="W126" s="288"/>
      <c r="X126" s="287"/>
      <c r="Y126" s="287"/>
    </row>
    <row r="127" spans="2:25">
      <c r="B127" s="284"/>
      <c r="C127" s="284"/>
      <c r="D127" s="285"/>
      <c r="E127" s="284"/>
      <c r="F127" s="284"/>
      <c r="G127" s="285"/>
      <c r="H127" s="284"/>
      <c r="I127" s="284"/>
      <c r="J127" s="285"/>
      <c r="K127" s="284"/>
      <c r="L127" s="284"/>
      <c r="M127" s="285"/>
      <c r="N127" s="286"/>
      <c r="O127" s="287">
        <v>100</v>
      </c>
      <c r="P127" s="287">
        <f>IF(O127&lt;='B 2. B 3. '!$L$25,'B 2. B 3. '!$M$25,IF(AND(O127&lt;='B 2. B 3. '!$L$24,O127&gt;'B 2. B 3. '!$L$25),0+(('B 2. B 3. '!$M$25-'B 2. B 3. '!$M$24)/('B 2. B 3. '!$L$25-'B 2. B 3. '!$L$24))*(O127-'B 2. B 3. '!$L$24),0))</f>
        <v>0</v>
      </c>
      <c r="Q127" s="288"/>
      <c r="R127" s="287"/>
      <c r="S127" s="287"/>
      <c r="T127" s="288"/>
      <c r="U127" s="287">
        <v>100</v>
      </c>
      <c r="V127" s="287">
        <f>IF(U127&lt;='B 2. B 3. '!$L$29,'B 2. B 3. '!$M$29,IF(AND(U127&lt;='B 2. B 3. '!$L$28,U127&gt;'B 2. B 3. '!$L$29),0+(('B 2. B 3. '!$M$29-'B 2. B 3. '!$M$28)/('B 2. B 3. '!$L$29-'B 2. B 3. '!$L$28))*(U127-'B 2. B 3. '!$L$28),0))</f>
        <v>48.888888888888893</v>
      </c>
      <c r="W127" s="288"/>
      <c r="X127" s="287"/>
      <c r="Y127" s="287"/>
    </row>
    <row r="128" spans="2:25">
      <c r="B128" s="284"/>
      <c r="C128" s="284"/>
      <c r="D128" s="285"/>
      <c r="E128" s="284"/>
      <c r="F128" s="284"/>
      <c r="G128" s="285"/>
      <c r="H128" s="284"/>
      <c r="I128" s="284"/>
      <c r="J128" s="285"/>
      <c r="K128" s="284"/>
      <c r="L128" s="284"/>
      <c r="M128" s="285"/>
      <c r="N128" s="286"/>
      <c r="O128" s="287">
        <v>102</v>
      </c>
      <c r="P128" s="287">
        <f>IF(O128&lt;='B 2. B 3. '!$L$25,'B 2. B 3. '!$M$25,IF(AND(O128&lt;='B 2. B 3. '!$L$24,O128&gt;'B 2. B 3. '!$L$25),0+(('B 2. B 3. '!$M$25-'B 2. B 3. '!$M$24)/('B 2. B 3. '!$L$25-'B 2. B 3. '!$L$24))*(O128-'B 2. B 3. '!$L$24),0))</f>
        <v>0</v>
      </c>
      <c r="Q128" s="288"/>
      <c r="R128" s="287"/>
      <c r="S128" s="287"/>
      <c r="T128" s="288"/>
      <c r="U128" s="287">
        <v>102</v>
      </c>
      <c r="V128" s="287">
        <f>IF(U128&lt;='B 2. B 3. '!$L$29,'B 2. B 3. '!$M$29,IF(AND(U128&lt;='B 2. B 3. '!$L$28,U128&gt;'B 2. B 3. '!$L$29),0+(('B 2. B 3. '!$M$29-'B 2. B 3. '!$M$28)/('B 2. B 3. '!$L$29-'B 2. B 3. '!$L$28))*(U128-'B 2. B 3. '!$L$28),0))</f>
        <v>46.666666666666671</v>
      </c>
      <c r="W128" s="288"/>
      <c r="X128" s="287"/>
      <c r="Y128" s="287"/>
    </row>
    <row r="129" spans="2:25">
      <c r="B129" s="284"/>
      <c r="C129" s="284"/>
      <c r="D129" s="285"/>
      <c r="E129" s="284"/>
      <c r="F129" s="284"/>
      <c r="G129" s="285"/>
      <c r="H129" s="284"/>
      <c r="I129" s="284"/>
      <c r="J129" s="285"/>
      <c r="K129" s="284"/>
      <c r="L129" s="284"/>
      <c r="M129" s="285"/>
      <c r="N129" s="286"/>
      <c r="O129" s="287">
        <v>104</v>
      </c>
      <c r="P129" s="287">
        <f>IF(O129&lt;='B 2. B 3. '!$L$25,'B 2. B 3. '!$M$25,IF(AND(O129&lt;='B 2. B 3. '!$L$24,O129&gt;'B 2. B 3. '!$L$25),0+(('B 2. B 3. '!$M$25-'B 2. B 3. '!$M$24)/('B 2. B 3. '!$L$25-'B 2. B 3. '!$L$24))*(O129-'B 2. B 3. '!$L$24),0))</f>
        <v>0</v>
      </c>
      <c r="Q129" s="288"/>
      <c r="R129" s="287"/>
      <c r="S129" s="287"/>
      <c r="T129" s="288"/>
      <c r="U129" s="287">
        <v>104</v>
      </c>
      <c r="V129" s="287">
        <f>IF(U129&lt;='B 2. B 3. '!$L$29,'B 2. B 3. '!$M$29,IF(AND(U129&lt;='B 2. B 3. '!$L$28,U129&gt;'B 2. B 3. '!$L$29),0+(('B 2. B 3. '!$M$29-'B 2. B 3. '!$M$28)/('B 2. B 3. '!$L$29-'B 2. B 3. '!$L$28))*(U129-'B 2. B 3. '!$L$28),0))</f>
        <v>44.444444444444443</v>
      </c>
      <c r="W129" s="288"/>
      <c r="X129" s="287"/>
      <c r="Y129" s="287"/>
    </row>
    <row r="130" spans="2:25">
      <c r="B130" s="284"/>
      <c r="C130" s="284"/>
      <c r="D130" s="285"/>
      <c r="E130" s="284"/>
      <c r="F130" s="284"/>
      <c r="G130" s="285"/>
      <c r="H130" s="284"/>
      <c r="I130" s="284"/>
      <c r="J130" s="285"/>
      <c r="K130" s="284"/>
      <c r="L130" s="284"/>
      <c r="M130" s="285"/>
      <c r="N130" s="286"/>
      <c r="O130" s="287">
        <v>106</v>
      </c>
      <c r="P130" s="287">
        <f>IF(O130&lt;='B 2. B 3. '!$L$25,'B 2. B 3. '!$M$25,IF(AND(O130&lt;='B 2. B 3. '!$L$24,O130&gt;'B 2. B 3. '!$L$25),0+(('B 2. B 3. '!$M$25-'B 2. B 3. '!$M$24)/('B 2. B 3. '!$L$25-'B 2. B 3. '!$L$24))*(O130-'B 2. B 3. '!$L$24),0))</f>
        <v>0</v>
      </c>
      <c r="Q130" s="288"/>
      <c r="R130" s="287"/>
      <c r="S130" s="287"/>
      <c r="T130" s="288"/>
      <c r="U130" s="287">
        <v>106</v>
      </c>
      <c r="V130" s="287">
        <f>IF(U130&lt;='B 2. B 3. '!$L$29,'B 2. B 3. '!$M$29,IF(AND(U130&lt;='B 2. B 3. '!$L$28,U130&gt;'B 2. B 3. '!$L$29),0+(('B 2. B 3. '!$M$29-'B 2. B 3. '!$M$28)/('B 2. B 3. '!$L$29-'B 2. B 3. '!$L$28))*(U130-'B 2. B 3. '!$L$28),0))</f>
        <v>42.222222222222221</v>
      </c>
      <c r="W130" s="288"/>
      <c r="X130" s="287"/>
      <c r="Y130" s="287"/>
    </row>
    <row r="131" spans="2:25">
      <c r="B131" s="284"/>
      <c r="C131" s="284"/>
      <c r="D131" s="285"/>
      <c r="E131" s="284"/>
      <c r="F131" s="284"/>
      <c r="G131" s="285"/>
      <c r="H131" s="284"/>
      <c r="I131" s="284"/>
      <c r="J131" s="285"/>
      <c r="K131" s="284"/>
      <c r="L131" s="284"/>
      <c r="M131" s="285"/>
      <c r="N131" s="286"/>
      <c r="O131" s="287">
        <v>108</v>
      </c>
      <c r="P131" s="287">
        <f>IF(O131&lt;='B 2. B 3. '!$L$25,'B 2. B 3. '!$M$25,IF(AND(O131&lt;='B 2. B 3. '!$L$24,O131&gt;'B 2. B 3. '!$L$25),0+(('B 2. B 3. '!$M$25-'B 2. B 3. '!$M$24)/('B 2. B 3. '!$L$25-'B 2. B 3. '!$L$24))*(O131-'B 2. B 3. '!$L$24),0))</f>
        <v>0</v>
      </c>
      <c r="Q131" s="288"/>
      <c r="R131" s="287"/>
      <c r="S131" s="287"/>
      <c r="T131" s="288"/>
      <c r="U131" s="287">
        <v>108</v>
      </c>
      <c r="V131" s="287">
        <f>IF(U131&lt;='B 2. B 3. '!$L$29,'B 2. B 3. '!$M$29,IF(AND(U131&lt;='B 2. B 3. '!$L$28,U131&gt;'B 2. B 3. '!$L$29),0+(('B 2. B 3. '!$M$29-'B 2. B 3. '!$M$28)/('B 2. B 3. '!$L$29-'B 2. B 3. '!$L$28))*(U131-'B 2. B 3. '!$L$28),0))</f>
        <v>40</v>
      </c>
      <c r="W131" s="288"/>
      <c r="X131" s="287"/>
      <c r="Y131" s="287"/>
    </row>
    <row r="132" spans="2:25">
      <c r="B132" s="284"/>
      <c r="C132" s="284"/>
      <c r="D132" s="285"/>
      <c r="E132" s="284"/>
      <c r="F132" s="284"/>
      <c r="G132" s="285"/>
      <c r="H132" s="284"/>
      <c r="I132" s="284"/>
      <c r="J132" s="285"/>
      <c r="K132" s="284"/>
      <c r="L132" s="284"/>
      <c r="M132" s="285"/>
      <c r="N132" s="286"/>
      <c r="O132" s="287">
        <v>110</v>
      </c>
      <c r="P132" s="287">
        <f>IF(O132&lt;='B 2. B 3. '!$L$25,'B 2. B 3. '!$M$25,IF(AND(O132&lt;='B 2. B 3. '!$L$24,O132&gt;'B 2. B 3. '!$L$25),0+(('B 2. B 3. '!$M$25-'B 2. B 3. '!$M$24)/('B 2. B 3. '!$L$25-'B 2. B 3. '!$L$24))*(O132-'B 2. B 3. '!$L$24),0))</f>
        <v>0</v>
      </c>
      <c r="Q132" s="288"/>
      <c r="R132" s="287"/>
      <c r="S132" s="287"/>
      <c r="T132" s="288"/>
      <c r="U132" s="287">
        <v>110</v>
      </c>
      <c r="V132" s="287">
        <f>IF(U132&lt;='B 2. B 3. '!$L$29,'B 2. B 3. '!$M$29,IF(AND(U132&lt;='B 2. B 3. '!$L$28,U132&gt;'B 2. B 3. '!$L$29),0+(('B 2. B 3. '!$M$29-'B 2. B 3. '!$M$28)/('B 2. B 3. '!$L$29-'B 2. B 3. '!$L$28))*(U132-'B 2. B 3. '!$L$28),0))</f>
        <v>37.777777777777779</v>
      </c>
      <c r="W132" s="288"/>
      <c r="X132" s="287"/>
      <c r="Y132" s="287"/>
    </row>
    <row r="133" spans="2:25">
      <c r="B133" s="284"/>
      <c r="C133" s="284"/>
      <c r="D133" s="285"/>
      <c r="E133" s="284"/>
      <c r="F133" s="284"/>
      <c r="G133" s="285"/>
      <c r="H133" s="284"/>
      <c r="I133" s="284"/>
      <c r="J133" s="285"/>
      <c r="K133" s="284"/>
      <c r="L133" s="284"/>
      <c r="M133" s="285"/>
      <c r="N133" s="286"/>
      <c r="O133" s="287">
        <v>112</v>
      </c>
      <c r="P133" s="287">
        <f>IF(O133&lt;='B 2. B 3. '!$L$25,'B 2. B 3. '!$M$25,IF(AND(O133&lt;='B 2. B 3. '!$L$24,O133&gt;'B 2. B 3. '!$L$25),0+(('B 2. B 3. '!$M$25-'B 2. B 3. '!$M$24)/('B 2. B 3. '!$L$25-'B 2. B 3. '!$L$24))*(O133-'B 2. B 3. '!$L$24),0))</f>
        <v>0</v>
      </c>
      <c r="Q133" s="288"/>
      <c r="R133" s="287"/>
      <c r="S133" s="287"/>
      <c r="T133" s="288"/>
      <c r="U133" s="287">
        <v>112</v>
      </c>
      <c r="V133" s="287">
        <f>IF(U133&lt;='B 2. B 3. '!$L$29,'B 2. B 3. '!$M$29,IF(AND(U133&lt;='B 2. B 3. '!$L$28,U133&gt;'B 2. B 3. '!$L$29),0+(('B 2. B 3. '!$M$29-'B 2. B 3. '!$M$28)/('B 2. B 3. '!$L$29-'B 2. B 3. '!$L$28))*(U133-'B 2. B 3. '!$L$28),0))</f>
        <v>35.555555555555557</v>
      </c>
      <c r="W133" s="288"/>
      <c r="X133" s="287"/>
      <c r="Y133" s="287"/>
    </row>
    <row r="134" spans="2:25">
      <c r="B134" s="284"/>
      <c r="C134" s="284"/>
      <c r="D134" s="285"/>
      <c r="E134" s="284"/>
      <c r="F134" s="284"/>
      <c r="G134" s="285"/>
      <c r="H134" s="284"/>
      <c r="I134" s="284"/>
      <c r="J134" s="285"/>
      <c r="K134" s="284"/>
      <c r="L134" s="284"/>
      <c r="M134" s="285"/>
      <c r="N134" s="286"/>
      <c r="O134" s="287">
        <v>114</v>
      </c>
      <c r="P134" s="287">
        <f>IF(O134&lt;='B 2. B 3. '!$L$25,'B 2. B 3. '!$M$25,IF(AND(O134&lt;='B 2. B 3. '!$L$24,O134&gt;'B 2. B 3. '!$L$25),0+(('B 2. B 3. '!$M$25-'B 2. B 3. '!$M$24)/('B 2. B 3. '!$L$25-'B 2. B 3. '!$L$24))*(O134-'B 2. B 3. '!$L$24),0))</f>
        <v>0</v>
      </c>
      <c r="Q134" s="288"/>
      <c r="R134" s="287"/>
      <c r="S134" s="287"/>
      <c r="T134" s="288"/>
      <c r="U134" s="287">
        <v>114</v>
      </c>
      <c r="V134" s="287">
        <f>IF(U134&lt;='B 2. B 3. '!$L$29,'B 2. B 3. '!$M$29,IF(AND(U134&lt;='B 2. B 3. '!$L$28,U134&gt;'B 2. B 3. '!$L$29),0+(('B 2. B 3. '!$M$29-'B 2. B 3. '!$M$28)/('B 2. B 3. '!$L$29-'B 2. B 3. '!$L$28))*(U134-'B 2. B 3. '!$L$28),0))</f>
        <v>33.333333333333336</v>
      </c>
      <c r="W134" s="288"/>
      <c r="X134" s="287"/>
      <c r="Y134" s="287"/>
    </row>
    <row r="135" spans="2:25">
      <c r="B135" s="284"/>
      <c r="C135" s="284"/>
      <c r="D135" s="285"/>
      <c r="E135" s="284"/>
      <c r="F135" s="284"/>
      <c r="G135" s="285"/>
      <c r="H135" s="284"/>
      <c r="I135" s="284"/>
      <c r="J135" s="285"/>
      <c r="K135" s="284"/>
      <c r="L135" s="284"/>
      <c r="M135" s="285"/>
      <c r="N135" s="286"/>
      <c r="O135" s="287">
        <v>116</v>
      </c>
      <c r="P135" s="287">
        <f>IF(O135&lt;='B 2. B 3. '!$L$25,'B 2. B 3. '!$M$25,IF(AND(O135&lt;='B 2. B 3. '!$L$24,O135&gt;'B 2. B 3. '!$L$25),0+(('B 2. B 3. '!$M$25-'B 2. B 3. '!$M$24)/('B 2. B 3. '!$L$25-'B 2. B 3. '!$L$24))*(O135-'B 2. B 3. '!$L$24),0))</f>
        <v>0</v>
      </c>
      <c r="Q135" s="288"/>
      <c r="R135" s="287"/>
      <c r="S135" s="287"/>
      <c r="T135" s="288"/>
      <c r="U135" s="287">
        <v>116</v>
      </c>
      <c r="V135" s="287">
        <f>IF(U135&lt;='B 2. B 3. '!$L$29,'B 2. B 3. '!$M$29,IF(AND(U135&lt;='B 2. B 3. '!$L$28,U135&gt;'B 2. B 3. '!$L$29),0+(('B 2. B 3. '!$M$29-'B 2. B 3. '!$M$28)/('B 2. B 3. '!$L$29-'B 2. B 3. '!$L$28))*(U135-'B 2. B 3. '!$L$28),0))</f>
        <v>31.111111111111114</v>
      </c>
      <c r="W135" s="288"/>
      <c r="X135" s="287"/>
      <c r="Y135" s="287"/>
    </row>
    <row r="136" spans="2:25">
      <c r="B136" s="284"/>
      <c r="C136" s="284"/>
      <c r="D136" s="285"/>
      <c r="E136" s="284"/>
      <c r="F136" s="284"/>
      <c r="G136" s="285"/>
      <c r="H136" s="284"/>
      <c r="I136" s="284"/>
      <c r="J136" s="285"/>
      <c r="K136" s="284"/>
      <c r="L136" s="284"/>
      <c r="M136" s="285"/>
      <c r="N136" s="286"/>
      <c r="O136" s="287">
        <v>118</v>
      </c>
      <c r="P136" s="287">
        <f>IF(O136&lt;='B 2. B 3. '!$L$25,'B 2. B 3. '!$M$25,IF(AND(O136&lt;='B 2. B 3. '!$L$24,O136&gt;'B 2. B 3. '!$L$25),0+(('B 2. B 3. '!$M$25-'B 2. B 3. '!$M$24)/('B 2. B 3. '!$L$25-'B 2. B 3. '!$L$24))*(O136-'B 2. B 3. '!$L$24),0))</f>
        <v>0</v>
      </c>
      <c r="Q136" s="288"/>
      <c r="R136" s="287"/>
      <c r="S136" s="287"/>
      <c r="T136" s="288"/>
      <c r="U136" s="287">
        <v>118</v>
      </c>
      <c r="V136" s="287">
        <f>IF(U136&lt;='B 2. B 3. '!$L$29,'B 2. B 3. '!$M$29,IF(AND(U136&lt;='B 2. B 3. '!$L$28,U136&gt;'B 2. B 3. '!$L$29),0+(('B 2. B 3. '!$M$29-'B 2. B 3. '!$M$28)/('B 2. B 3. '!$L$29-'B 2. B 3. '!$L$28))*(U136-'B 2. B 3. '!$L$28),0))</f>
        <v>28.888888888888889</v>
      </c>
      <c r="W136" s="288"/>
      <c r="X136" s="287"/>
      <c r="Y136" s="287"/>
    </row>
    <row r="137" spans="2:25">
      <c r="B137" s="284"/>
      <c r="C137" s="284"/>
      <c r="D137" s="285"/>
      <c r="E137" s="284"/>
      <c r="F137" s="284"/>
      <c r="G137" s="285"/>
      <c r="H137" s="284"/>
      <c r="I137" s="284"/>
      <c r="J137" s="285"/>
      <c r="K137" s="284"/>
      <c r="L137" s="284"/>
      <c r="M137" s="285"/>
      <c r="N137" s="286"/>
      <c r="O137" s="287">
        <v>120</v>
      </c>
      <c r="P137" s="287">
        <f>IF(O137&lt;='B 2. B 3. '!$L$25,'B 2. B 3. '!$M$25,IF(AND(O137&lt;='B 2. B 3. '!$L$24,O137&gt;'B 2. B 3. '!$L$25),0+(('B 2. B 3. '!$M$25-'B 2. B 3. '!$M$24)/('B 2. B 3. '!$L$25-'B 2. B 3. '!$L$24))*(O137-'B 2. B 3. '!$L$24),0))</f>
        <v>0</v>
      </c>
      <c r="Q137" s="288"/>
      <c r="R137" s="287"/>
      <c r="S137" s="287"/>
      <c r="T137" s="288"/>
      <c r="U137" s="287">
        <v>120</v>
      </c>
      <c r="V137" s="287">
        <f>IF(U137&lt;='B 2. B 3. '!$L$29,'B 2. B 3. '!$M$29,IF(AND(U137&lt;='B 2. B 3. '!$L$28,U137&gt;'B 2. B 3. '!$L$29),0+(('B 2. B 3. '!$M$29-'B 2. B 3. '!$M$28)/('B 2. B 3. '!$L$29-'B 2. B 3. '!$L$28))*(U137-'B 2. B 3. '!$L$28),0))</f>
        <v>26.666666666666668</v>
      </c>
      <c r="W137" s="288"/>
      <c r="X137" s="287"/>
      <c r="Y137" s="287"/>
    </row>
    <row r="138" spans="2:25">
      <c r="B138" s="284"/>
      <c r="C138" s="284"/>
      <c r="D138" s="285"/>
      <c r="E138" s="284"/>
      <c r="F138" s="284"/>
      <c r="G138" s="285"/>
      <c r="H138" s="284"/>
      <c r="I138" s="284"/>
      <c r="J138" s="285"/>
      <c r="K138" s="284"/>
      <c r="L138" s="284"/>
      <c r="M138" s="285"/>
      <c r="N138" s="286"/>
      <c r="O138" s="287">
        <v>122</v>
      </c>
      <c r="P138" s="287">
        <f>IF(O138&lt;='B 2. B 3. '!$L$25,'B 2. B 3. '!$M$25,IF(AND(O138&lt;='B 2. B 3. '!$L$24,O138&gt;'B 2. B 3. '!$L$25),0+(('B 2. B 3. '!$M$25-'B 2. B 3. '!$M$24)/('B 2. B 3. '!$L$25-'B 2. B 3. '!$L$24))*(O138-'B 2. B 3. '!$L$24),0))</f>
        <v>0</v>
      </c>
      <c r="Q138" s="288"/>
      <c r="R138" s="287"/>
      <c r="S138" s="287"/>
      <c r="T138" s="288"/>
      <c r="U138" s="287">
        <v>122</v>
      </c>
      <c r="V138" s="287">
        <f>IF(U138&lt;='B 2. B 3. '!$L$29,'B 2. B 3. '!$M$29,IF(AND(U138&lt;='B 2. B 3. '!$L$28,U138&gt;'B 2. B 3. '!$L$29),0+(('B 2. B 3. '!$M$29-'B 2. B 3. '!$M$28)/('B 2. B 3. '!$L$29-'B 2. B 3. '!$L$28))*(U138-'B 2. B 3. '!$L$28),0))</f>
        <v>24.444444444444446</v>
      </c>
      <c r="W138" s="288"/>
      <c r="X138" s="287"/>
      <c r="Y138" s="287"/>
    </row>
    <row r="139" spans="2:25">
      <c r="B139" s="284"/>
      <c r="C139" s="284"/>
      <c r="D139" s="285"/>
      <c r="E139" s="284"/>
      <c r="F139" s="284"/>
      <c r="G139" s="285"/>
      <c r="H139" s="284"/>
      <c r="I139" s="284"/>
      <c r="J139" s="285"/>
      <c r="K139" s="284"/>
      <c r="L139" s="284"/>
      <c r="M139" s="285"/>
      <c r="N139" s="286"/>
      <c r="O139" s="287">
        <v>124</v>
      </c>
      <c r="P139" s="287">
        <f>IF(O139&lt;='B 2. B 3. '!$L$25,'B 2. B 3. '!$M$25,IF(AND(O139&lt;='B 2. B 3. '!$L$24,O139&gt;'B 2. B 3. '!$L$25),0+(('B 2. B 3. '!$M$25-'B 2. B 3. '!$M$24)/('B 2. B 3. '!$L$25-'B 2. B 3. '!$L$24))*(O139-'B 2. B 3. '!$L$24),0))</f>
        <v>0</v>
      </c>
      <c r="Q139" s="288"/>
      <c r="R139" s="287"/>
      <c r="S139" s="287"/>
      <c r="T139" s="288"/>
      <c r="U139" s="287">
        <v>124</v>
      </c>
      <c r="V139" s="287">
        <f>IF(U139&lt;='B 2. B 3. '!$L$29,'B 2. B 3. '!$M$29,IF(AND(U139&lt;='B 2. B 3. '!$L$28,U139&gt;'B 2. B 3. '!$L$29),0+(('B 2. B 3. '!$M$29-'B 2. B 3. '!$M$28)/('B 2. B 3. '!$L$29-'B 2. B 3. '!$L$28))*(U139-'B 2. B 3. '!$L$28),0))</f>
        <v>22.222222222222221</v>
      </c>
      <c r="W139" s="288"/>
      <c r="X139" s="287"/>
      <c r="Y139" s="287"/>
    </row>
    <row r="140" spans="2:25">
      <c r="B140" s="284"/>
      <c r="C140" s="284"/>
      <c r="D140" s="285"/>
      <c r="E140" s="284"/>
      <c r="F140" s="284"/>
      <c r="G140" s="285"/>
      <c r="H140" s="284"/>
      <c r="I140" s="284"/>
      <c r="J140" s="285"/>
      <c r="K140" s="284"/>
      <c r="L140" s="284"/>
      <c r="M140" s="285"/>
      <c r="N140" s="286"/>
      <c r="O140" s="287">
        <v>126</v>
      </c>
      <c r="P140" s="287">
        <f>IF(O140&lt;='B 2. B 3. '!$L$25,'B 2. B 3. '!$M$25,IF(AND(O140&lt;='B 2. B 3. '!$L$24,O140&gt;'B 2. B 3. '!$L$25),0+(('B 2. B 3. '!$M$25-'B 2. B 3. '!$M$24)/('B 2. B 3. '!$L$25-'B 2. B 3. '!$L$24))*(O140-'B 2. B 3. '!$L$24),0))</f>
        <v>0</v>
      </c>
      <c r="Q140" s="288"/>
      <c r="R140" s="287"/>
      <c r="S140" s="287"/>
      <c r="T140" s="288"/>
      <c r="U140" s="287">
        <v>126</v>
      </c>
      <c r="V140" s="287">
        <f>IF(U140&lt;='B 2. B 3. '!$L$29,'B 2. B 3. '!$M$29,IF(AND(U140&lt;='B 2. B 3. '!$L$28,U140&gt;'B 2. B 3. '!$L$29),0+(('B 2. B 3. '!$M$29-'B 2. B 3. '!$M$28)/('B 2. B 3. '!$L$29-'B 2. B 3. '!$L$28))*(U140-'B 2. B 3. '!$L$28),0))</f>
        <v>20</v>
      </c>
      <c r="W140" s="288"/>
      <c r="X140" s="287"/>
      <c r="Y140" s="287"/>
    </row>
    <row r="141" spans="2:25">
      <c r="B141" s="284"/>
      <c r="C141" s="284"/>
      <c r="D141" s="285"/>
      <c r="E141" s="284"/>
      <c r="F141" s="284"/>
      <c r="G141" s="285"/>
      <c r="H141" s="284"/>
      <c r="I141" s="284"/>
      <c r="J141" s="285"/>
      <c r="K141" s="284"/>
      <c r="L141" s="284"/>
      <c r="M141" s="285"/>
      <c r="N141" s="286"/>
      <c r="O141" s="287">
        <v>128</v>
      </c>
      <c r="P141" s="287">
        <f>IF(O141&lt;='B 2. B 3. '!$L$25,'B 2. B 3. '!$M$25,IF(AND(O141&lt;='B 2. B 3. '!$L$24,O141&gt;'B 2. B 3. '!$L$25),0+(('B 2. B 3. '!$M$25-'B 2. B 3. '!$M$24)/('B 2. B 3. '!$L$25-'B 2. B 3. '!$L$24))*(O141-'B 2. B 3. '!$L$24),0))</f>
        <v>0</v>
      </c>
      <c r="Q141" s="288"/>
      <c r="R141" s="287"/>
      <c r="S141" s="287"/>
      <c r="T141" s="288"/>
      <c r="U141" s="287">
        <v>128</v>
      </c>
      <c r="V141" s="287">
        <f>IF(U141&lt;='B 2. B 3. '!$L$29,'B 2. B 3. '!$M$29,IF(AND(U141&lt;='B 2. B 3. '!$L$28,U141&gt;'B 2. B 3. '!$L$29),0+(('B 2. B 3. '!$M$29-'B 2. B 3. '!$M$28)/('B 2. B 3. '!$L$29-'B 2. B 3. '!$L$28))*(U141-'B 2. B 3. '!$L$28),0))</f>
        <v>17.777777777777779</v>
      </c>
      <c r="W141" s="288"/>
      <c r="X141" s="287"/>
      <c r="Y141" s="287"/>
    </row>
    <row r="142" spans="2:25">
      <c r="B142" s="284"/>
      <c r="C142" s="284"/>
      <c r="D142" s="285"/>
      <c r="E142" s="284"/>
      <c r="F142" s="284"/>
      <c r="G142" s="285"/>
      <c r="H142" s="284"/>
      <c r="I142" s="284"/>
      <c r="J142" s="285"/>
      <c r="K142" s="284"/>
      <c r="L142" s="284"/>
      <c r="M142" s="285"/>
      <c r="N142" s="286"/>
      <c r="O142" s="287">
        <v>130</v>
      </c>
      <c r="P142" s="287">
        <f>IF(O142&lt;='B 2. B 3. '!$L$25,'B 2. B 3. '!$M$25,IF(AND(O142&lt;='B 2. B 3. '!$L$24,O142&gt;'B 2. B 3. '!$L$25),0+(('B 2. B 3. '!$M$25-'B 2. B 3. '!$M$24)/('B 2. B 3. '!$L$25-'B 2. B 3. '!$L$24))*(O142-'B 2. B 3. '!$L$24),0))</f>
        <v>0</v>
      </c>
      <c r="Q142" s="288"/>
      <c r="R142" s="287"/>
      <c r="S142" s="287"/>
      <c r="T142" s="288"/>
      <c r="U142" s="287">
        <v>130</v>
      </c>
      <c r="V142" s="287">
        <f>IF(U142&lt;='B 2. B 3. '!$L$29,'B 2. B 3. '!$M$29,IF(AND(U142&lt;='B 2. B 3. '!$L$28,U142&gt;'B 2. B 3. '!$L$29),0+(('B 2. B 3. '!$M$29-'B 2. B 3. '!$M$28)/('B 2. B 3. '!$L$29-'B 2. B 3. '!$L$28))*(U142-'B 2. B 3. '!$L$28),0))</f>
        <v>15.555555555555557</v>
      </c>
      <c r="W142" s="288"/>
      <c r="X142" s="287"/>
      <c r="Y142" s="287"/>
    </row>
    <row r="143" spans="2:25">
      <c r="B143" s="284"/>
      <c r="C143" s="284"/>
      <c r="D143" s="285"/>
      <c r="E143" s="284"/>
      <c r="F143" s="284"/>
      <c r="G143" s="285"/>
      <c r="H143" s="284"/>
      <c r="I143" s="284"/>
      <c r="J143" s="285"/>
      <c r="K143" s="284"/>
      <c r="L143" s="284"/>
      <c r="M143" s="285"/>
      <c r="N143" s="286"/>
      <c r="O143" s="287"/>
      <c r="P143" s="287"/>
      <c r="Q143" s="288"/>
      <c r="R143" s="287"/>
      <c r="S143" s="287"/>
      <c r="T143" s="288"/>
      <c r="U143" s="287">
        <v>132</v>
      </c>
      <c r="V143" s="287">
        <f>IF(U143&lt;='B 2. B 3. '!$L$29,'B 2. B 3. '!$M$29,IF(AND(U143&lt;='B 2. B 3. '!$L$28,U143&gt;'B 2. B 3. '!$L$29),0+(('B 2. B 3. '!$M$29-'B 2. B 3. '!$M$28)/('B 2. B 3. '!$L$29-'B 2. B 3. '!$L$28))*(U143-'B 2. B 3. '!$L$28),0))</f>
        <v>13.333333333333334</v>
      </c>
      <c r="W143" s="288"/>
      <c r="X143" s="287"/>
      <c r="Y143" s="287"/>
    </row>
    <row r="144" spans="2:25">
      <c r="B144" s="284"/>
      <c r="C144" s="284"/>
      <c r="D144" s="285"/>
      <c r="E144" s="284"/>
      <c r="F144" s="284"/>
      <c r="G144" s="285"/>
      <c r="H144" s="284"/>
      <c r="I144" s="284"/>
      <c r="J144" s="285"/>
      <c r="K144" s="284"/>
      <c r="L144" s="284"/>
      <c r="M144" s="285"/>
      <c r="N144" s="286"/>
      <c r="O144" s="287"/>
      <c r="P144" s="287"/>
      <c r="Q144" s="288"/>
      <c r="R144" s="287"/>
      <c r="S144" s="287"/>
      <c r="T144" s="288"/>
      <c r="U144" s="287">
        <v>134</v>
      </c>
      <c r="V144" s="287">
        <f>IF(U144&lt;='B 2. B 3. '!$L$29,'B 2. B 3. '!$M$29,IF(AND(U144&lt;='B 2. B 3. '!$L$28,U144&gt;'B 2. B 3. '!$L$29),0+(('B 2. B 3. '!$M$29-'B 2. B 3. '!$M$28)/('B 2. B 3. '!$L$29-'B 2. B 3. '!$L$28))*(U144-'B 2. B 3. '!$L$28),0))</f>
        <v>11.111111111111111</v>
      </c>
      <c r="W144" s="288"/>
      <c r="X144" s="287"/>
      <c r="Y144" s="287"/>
    </row>
    <row r="145" spans="2:25">
      <c r="B145" s="284"/>
      <c r="C145" s="284"/>
      <c r="D145" s="285"/>
      <c r="E145" s="284"/>
      <c r="F145" s="284"/>
      <c r="G145" s="285"/>
      <c r="H145" s="284"/>
      <c r="I145" s="284"/>
      <c r="J145" s="285"/>
      <c r="K145" s="284"/>
      <c r="L145" s="284"/>
      <c r="M145" s="285"/>
      <c r="N145" s="286"/>
      <c r="O145" s="287"/>
      <c r="P145" s="287"/>
      <c r="Q145" s="288"/>
      <c r="R145" s="287"/>
      <c r="S145" s="287"/>
      <c r="T145" s="288"/>
      <c r="U145" s="287">
        <v>136</v>
      </c>
      <c r="V145" s="287">
        <f>IF(U145&lt;='B 2. B 3. '!$L$29,'B 2. B 3. '!$M$29,IF(AND(U145&lt;='B 2. B 3. '!$L$28,U145&gt;'B 2. B 3. '!$L$29),0+(('B 2. B 3. '!$M$29-'B 2. B 3. '!$M$28)/('B 2. B 3. '!$L$29-'B 2. B 3. '!$L$28))*(U145-'B 2. B 3. '!$L$28),0))</f>
        <v>8.8888888888888893</v>
      </c>
      <c r="W145" s="288"/>
      <c r="X145" s="287"/>
      <c r="Y145" s="287"/>
    </row>
    <row r="146" spans="2:25">
      <c r="B146" s="284"/>
      <c r="C146" s="284"/>
      <c r="D146" s="285"/>
      <c r="E146" s="284"/>
      <c r="F146" s="284"/>
      <c r="G146" s="285"/>
      <c r="H146" s="284"/>
      <c r="I146" s="284"/>
      <c r="J146" s="285"/>
      <c r="K146" s="284"/>
      <c r="L146" s="284"/>
      <c r="M146" s="285"/>
      <c r="N146" s="286"/>
      <c r="O146" s="287"/>
      <c r="P146" s="287"/>
      <c r="Q146" s="288"/>
      <c r="R146" s="287"/>
      <c r="S146" s="287"/>
      <c r="T146" s="288"/>
      <c r="U146" s="287">
        <v>138</v>
      </c>
      <c r="V146" s="287">
        <f>IF(U146&lt;='B 2. B 3. '!$L$29,'B 2. B 3. '!$M$29,IF(AND(U146&lt;='B 2. B 3. '!$L$28,U146&gt;'B 2. B 3. '!$L$29),0+(('B 2. B 3. '!$M$29-'B 2. B 3. '!$M$28)/('B 2. B 3. '!$L$29-'B 2. B 3. '!$L$28))*(U146-'B 2. B 3. '!$L$28),0))</f>
        <v>6.666666666666667</v>
      </c>
      <c r="W146" s="288"/>
      <c r="X146" s="287"/>
      <c r="Y146" s="287"/>
    </row>
    <row r="147" spans="2:25">
      <c r="B147" s="284"/>
      <c r="C147" s="284"/>
      <c r="D147" s="285"/>
      <c r="E147" s="284"/>
      <c r="F147" s="284"/>
      <c r="G147" s="285"/>
      <c r="H147" s="284"/>
      <c r="I147" s="284"/>
      <c r="J147" s="285"/>
      <c r="K147" s="284"/>
      <c r="L147" s="284"/>
      <c r="M147" s="285"/>
      <c r="N147" s="286"/>
      <c r="O147" s="287"/>
      <c r="P147" s="287"/>
      <c r="Q147" s="288"/>
      <c r="R147" s="287"/>
      <c r="S147" s="287"/>
      <c r="T147" s="288"/>
      <c r="U147" s="287">
        <v>140</v>
      </c>
      <c r="V147" s="287">
        <f>IF(U147&lt;='B 2. B 3. '!$L$29,'B 2. B 3. '!$M$29,IF(AND(U147&lt;='B 2. B 3. '!$L$28,U147&gt;'B 2. B 3. '!$L$29),0+(('B 2. B 3. '!$M$29-'B 2. B 3. '!$M$28)/('B 2. B 3. '!$L$29-'B 2. B 3. '!$L$28))*(U147-'B 2. B 3. '!$L$28),0))</f>
        <v>4.4444444444444446</v>
      </c>
      <c r="W147" s="288"/>
      <c r="X147" s="287"/>
      <c r="Y147" s="287"/>
    </row>
    <row r="148" spans="2:25">
      <c r="B148" s="284"/>
      <c r="C148" s="284"/>
      <c r="D148" s="285"/>
      <c r="E148" s="284"/>
      <c r="F148" s="284"/>
      <c r="G148" s="285"/>
      <c r="H148" s="284"/>
      <c r="I148" s="284"/>
      <c r="J148" s="285"/>
      <c r="K148" s="284"/>
      <c r="L148" s="284"/>
      <c r="M148" s="285"/>
      <c r="N148" s="286"/>
      <c r="O148" s="287"/>
      <c r="P148" s="287"/>
      <c r="Q148" s="288"/>
      <c r="R148" s="287"/>
      <c r="S148" s="287"/>
      <c r="T148" s="288"/>
      <c r="U148" s="287">
        <v>142</v>
      </c>
      <c r="V148" s="287">
        <f>IF(U148&lt;='B 2. B 3. '!$L$29,'B 2. B 3. '!$M$29,IF(AND(U148&lt;='B 2. B 3. '!$L$28,U148&gt;'B 2. B 3. '!$L$29),0+(('B 2. B 3. '!$M$29-'B 2. B 3. '!$M$28)/('B 2. B 3. '!$L$29-'B 2. B 3. '!$L$28))*(U148-'B 2. B 3. '!$L$28),0))</f>
        <v>2.2222222222222223</v>
      </c>
      <c r="W148" s="288"/>
      <c r="X148" s="287"/>
      <c r="Y148" s="287"/>
    </row>
    <row r="149" spans="2:25">
      <c r="B149" s="284"/>
      <c r="C149" s="284"/>
      <c r="D149" s="285"/>
      <c r="E149" s="284"/>
      <c r="F149" s="284"/>
      <c r="G149" s="285"/>
      <c r="H149" s="284"/>
      <c r="I149" s="284"/>
      <c r="J149" s="285"/>
      <c r="K149" s="284"/>
      <c r="L149" s="284"/>
      <c r="M149" s="285"/>
      <c r="N149" s="286"/>
      <c r="O149" s="287"/>
      <c r="P149" s="287"/>
      <c r="Q149" s="288"/>
      <c r="R149" s="287"/>
      <c r="S149" s="287"/>
      <c r="T149" s="288"/>
      <c r="U149" s="287">
        <v>144</v>
      </c>
      <c r="V149" s="287">
        <f>IF(U149&lt;='B 2. B 3. '!$L$29,'B 2. B 3. '!$M$29,IF(AND(U149&lt;='B 2. B 3. '!$L$28,U149&gt;'B 2. B 3. '!$L$29),0+(('B 2. B 3. '!$M$29-'B 2. B 3. '!$M$28)/('B 2. B 3. '!$L$29-'B 2. B 3. '!$L$28))*(U149-'B 2. B 3. '!$L$28),0))</f>
        <v>0</v>
      </c>
      <c r="W149" s="288"/>
      <c r="X149" s="287"/>
      <c r="Y149" s="287"/>
    </row>
    <row r="150" spans="2:25">
      <c r="B150" s="284"/>
      <c r="C150" s="284"/>
      <c r="D150" s="285"/>
      <c r="E150" s="284"/>
      <c r="F150" s="284"/>
      <c r="G150" s="285"/>
      <c r="H150" s="284"/>
      <c r="I150" s="284"/>
      <c r="J150" s="285"/>
      <c r="K150" s="284"/>
      <c r="L150" s="284"/>
      <c r="M150" s="285"/>
      <c r="N150" s="286"/>
      <c r="O150" s="287"/>
      <c r="P150" s="287"/>
      <c r="Q150" s="288"/>
      <c r="R150" s="287"/>
      <c r="S150" s="287"/>
      <c r="T150" s="288"/>
      <c r="U150" s="287">
        <v>146</v>
      </c>
      <c r="V150" s="287">
        <f>IF(U150&lt;='B 2. B 3. '!$L$29,'B 2. B 3. '!$M$29,IF(AND(U150&lt;='B 2. B 3. '!$L$28,U150&gt;'B 2. B 3. '!$L$29),0+(('B 2. B 3. '!$M$29-'B 2. B 3. '!$M$28)/('B 2. B 3. '!$L$29-'B 2. B 3. '!$L$28))*(U150-'B 2. B 3. '!$L$28),0))</f>
        <v>0</v>
      </c>
      <c r="W150" s="288"/>
      <c r="X150" s="287"/>
      <c r="Y150" s="287"/>
    </row>
    <row r="151" spans="2:25">
      <c r="B151" s="284"/>
      <c r="C151" s="284"/>
      <c r="D151" s="285"/>
      <c r="E151" s="284"/>
      <c r="F151" s="284"/>
      <c r="G151" s="285"/>
      <c r="H151" s="284"/>
      <c r="I151" s="284"/>
      <c r="J151" s="285"/>
      <c r="K151" s="284"/>
      <c r="L151" s="284"/>
      <c r="M151" s="285"/>
      <c r="N151" s="286"/>
      <c r="O151" s="287"/>
      <c r="P151" s="287"/>
      <c r="Q151" s="288"/>
      <c r="R151" s="287"/>
      <c r="S151" s="287"/>
      <c r="T151" s="288"/>
      <c r="U151" s="287">
        <v>148</v>
      </c>
      <c r="V151" s="287">
        <f>IF(U151&lt;='B 2. B 3. '!$L$29,'B 2. B 3. '!$M$29,IF(AND(U151&lt;='B 2. B 3. '!$L$28,U151&gt;'B 2. B 3. '!$L$29),0+(('B 2. B 3. '!$M$29-'B 2. B 3. '!$M$28)/('B 2. B 3. '!$L$29-'B 2. B 3. '!$L$28))*(U151-'B 2. B 3. '!$L$28),0))</f>
        <v>0</v>
      </c>
      <c r="W151" s="288"/>
      <c r="X151" s="287"/>
      <c r="Y151" s="287"/>
    </row>
    <row r="152" spans="2:25">
      <c r="B152" s="284"/>
      <c r="C152" s="284"/>
      <c r="D152" s="285"/>
      <c r="E152" s="284"/>
      <c r="F152" s="284"/>
      <c r="G152" s="285"/>
      <c r="H152" s="284"/>
      <c r="I152" s="284"/>
      <c r="J152" s="285"/>
      <c r="K152" s="284"/>
      <c r="L152" s="284"/>
      <c r="M152" s="285"/>
      <c r="N152" s="286"/>
      <c r="O152" s="287"/>
      <c r="P152" s="287"/>
      <c r="Q152" s="288"/>
      <c r="R152" s="287"/>
      <c r="S152" s="287"/>
      <c r="T152" s="288"/>
      <c r="U152" s="287">
        <v>150</v>
      </c>
      <c r="V152" s="287">
        <f>IF(U152&lt;='B 2. B 3. '!$L$29,'B 2. B 3. '!$M$29,IF(AND(U152&lt;='B 2. B 3. '!$L$28,U152&gt;'B 2. B 3. '!$L$29),0+(('B 2. B 3. '!$M$29-'B 2. B 3. '!$M$28)/('B 2. B 3. '!$L$29-'B 2. B 3. '!$L$28))*(U152-'B 2. B 3. '!$L$28),0))</f>
        <v>0</v>
      </c>
      <c r="W152" s="288"/>
      <c r="X152" s="287"/>
      <c r="Y152" s="287"/>
    </row>
    <row r="153" spans="2:25">
      <c r="B153" s="284"/>
      <c r="C153" s="284"/>
      <c r="D153" s="285"/>
      <c r="E153" s="284"/>
      <c r="F153" s="284"/>
      <c r="G153" s="285"/>
      <c r="H153" s="284"/>
      <c r="I153" s="284"/>
      <c r="J153" s="285"/>
      <c r="K153" s="284"/>
      <c r="L153" s="284"/>
      <c r="M153" s="285"/>
      <c r="N153" s="286"/>
      <c r="O153" s="287"/>
      <c r="P153" s="287"/>
      <c r="Q153" s="288"/>
      <c r="R153" s="287"/>
      <c r="S153" s="287"/>
      <c r="T153" s="288"/>
      <c r="U153" s="287"/>
      <c r="V153" s="287"/>
      <c r="W153" s="288"/>
      <c r="X153" s="287"/>
      <c r="Y153" s="287"/>
    </row>
    <row r="154" spans="2:25">
      <c r="B154" s="284"/>
      <c r="C154" s="284"/>
      <c r="D154" s="285"/>
      <c r="E154" s="284"/>
      <c r="F154" s="284"/>
      <c r="G154" s="285"/>
      <c r="H154" s="284"/>
      <c r="I154" s="284"/>
      <c r="J154" s="285"/>
      <c r="K154" s="284"/>
      <c r="L154" s="284"/>
      <c r="M154" s="285"/>
      <c r="N154" s="286"/>
      <c r="O154" s="287"/>
      <c r="P154" s="287"/>
      <c r="Q154" s="288"/>
      <c r="R154" s="287"/>
      <c r="S154" s="287"/>
      <c r="T154" s="288"/>
      <c r="U154" s="287"/>
      <c r="V154" s="287"/>
      <c r="W154" s="288"/>
      <c r="X154" s="287"/>
      <c r="Y154" s="287"/>
    </row>
    <row r="155" spans="2:25">
      <c r="B155" s="284"/>
      <c r="C155" s="284"/>
      <c r="D155" s="285"/>
      <c r="E155" s="284"/>
      <c r="F155" s="284"/>
      <c r="G155" s="285"/>
      <c r="H155" s="284"/>
      <c r="I155" s="284"/>
      <c r="J155" s="285"/>
      <c r="K155" s="284"/>
      <c r="L155" s="284"/>
      <c r="M155" s="285"/>
      <c r="N155" s="286"/>
      <c r="O155" s="287"/>
      <c r="P155" s="287"/>
      <c r="Q155" s="288"/>
      <c r="R155" s="287"/>
      <c r="S155" s="287"/>
      <c r="T155" s="288"/>
      <c r="U155" s="287"/>
      <c r="V155" s="287"/>
      <c r="W155" s="288"/>
      <c r="X155" s="287"/>
      <c r="Y155" s="287"/>
    </row>
    <row r="156" spans="2:25">
      <c r="B156" s="284"/>
      <c r="C156" s="284"/>
      <c r="D156" s="285"/>
      <c r="E156" s="284"/>
      <c r="F156" s="284"/>
      <c r="G156" s="285"/>
      <c r="H156" s="284"/>
      <c r="I156" s="284"/>
      <c r="J156" s="285"/>
      <c r="K156" s="284"/>
      <c r="L156" s="284"/>
      <c r="M156" s="285"/>
      <c r="N156" s="286"/>
      <c r="O156" s="287"/>
      <c r="P156" s="287"/>
      <c r="Q156" s="288"/>
      <c r="R156" s="287"/>
      <c r="S156" s="287"/>
      <c r="T156" s="288"/>
      <c r="U156" s="287"/>
      <c r="V156" s="287"/>
      <c r="W156" s="288"/>
      <c r="X156" s="287"/>
      <c r="Y156" s="287"/>
    </row>
    <row r="157" spans="2:25">
      <c r="B157" s="284"/>
      <c r="C157" s="284"/>
      <c r="D157" s="285"/>
      <c r="E157" s="284"/>
      <c r="F157" s="284"/>
      <c r="G157" s="285"/>
      <c r="H157" s="284"/>
      <c r="I157" s="284"/>
      <c r="J157" s="285"/>
      <c r="K157" s="284"/>
      <c r="L157" s="284"/>
      <c r="M157" s="285"/>
      <c r="N157" s="286"/>
      <c r="O157" s="287"/>
      <c r="P157" s="287"/>
      <c r="Q157" s="288"/>
      <c r="R157" s="287"/>
      <c r="S157" s="287"/>
      <c r="T157" s="288"/>
      <c r="U157" s="287"/>
      <c r="V157" s="287"/>
      <c r="W157" s="288"/>
      <c r="X157" s="287"/>
      <c r="Y157" s="287"/>
    </row>
    <row r="158" spans="2:25">
      <c r="B158" s="284"/>
      <c r="C158" s="284"/>
      <c r="D158" s="285"/>
      <c r="E158" s="284"/>
      <c r="F158" s="284"/>
      <c r="G158" s="285"/>
      <c r="H158" s="284"/>
      <c r="I158" s="284"/>
      <c r="J158" s="285"/>
      <c r="K158" s="284"/>
      <c r="L158" s="284"/>
      <c r="M158" s="285"/>
      <c r="N158" s="286"/>
      <c r="O158" s="287"/>
      <c r="P158" s="287"/>
      <c r="Q158" s="288"/>
      <c r="R158" s="287"/>
      <c r="S158" s="287"/>
      <c r="T158" s="288"/>
      <c r="U158" s="287"/>
      <c r="V158" s="287"/>
      <c r="W158" s="288"/>
      <c r="X158" s="287"/>
      <c r="Y158" s="287"/>
    </row>
    <row r="159" spans="2:25">
      <c r="B159" s="284"/>
      <c r="C159" s="284"/>
      <c r="D159" s="285"/>
      <c r="E159" s="284"/>
      <c r="F159" s="284"/>
      <c r="G159" s="285"/>
      <c r="H159" s="284"/>
      <c r="I159" s="284"/>
      <c r="J159" s="285"/>
      <c r="K159" s="284"/>
      <c r="L159" s="284"/>
      <c r="M159" s="285"/>
      <c r="N159" s="286"/>
      <c r="O159" s="287"/>
      <c r="P159" s="287"/>
      <c r="Q159" s="288"/>
      <c r="R159" s="287"/>
      <c r="S159" s="287"/>
      <c r="T159" s="288"/>
      <c r="U159" s="287"/>
      <c r="V159" s="287"/>
      <c r="W159" s="288"/>
      <c r="X159" s="287"/>
      <c r="Y159" s="287"/>
    </row>
    <row r="160" spans="2:25">
      <c r="B160" s="284"/>
      <c r="C160" s="284"/>
      <c r="D160" s="285"/>
      <c r="E160" s="284"/>
      <c r="F160" s="284"/>
      <c r="G160" s="285"/>
      <c r="H160" s="284"/>
      <c r="I160" s="284"/>
      <c r="J160" s="285"/>
      <c r="K160" s="284"/>
      <c r="L160" s="284"/>
      <c r="M160" s="285"/>
      <c r="N160" s="286"/>
      <c r="O160" s="287"/>
      <c r="P160" s="287"/>
      <c r="Q160" s="288"/>
      <c r="R160" s="287"/>
      <c r="S160" s="287"/>
      <c r="T160" s="288"/>
      <c r="U160" s="287"/>
      <c r="V160" s="287"/>
      <c r="W160" s="288"/>
      <c r="X160" s="287"/>
      <c r="Y160" s="287"/>
    </row>
    <row r="161" spans="2:25">
      <c r="B161" s="284"/>
      <c r="C161" s="284"/>
      <c r="D161" s="285"/>
      <c r="E161" s="284"/>
      <c r="F161" s="284"/>
      <c r="G161" s="285"/>
      <c r="H161" s="284"/>
      <c r="I161" s="284"/>
      <c r="J161" s="285"/>
      <c r="K161" s="284"/>
      <c r="L161" s="284"/>
      <c r="M161" s="285"/>
      <c r="N161" s="286"/>
      <c r="O161" s="287"/>
      <c r="P161" s="287"/>
      <c r="Q161" s="288"/>
      <c r="R161" s="287"/>
      <c r="S161" s="287"/>
      <c r="T161" s="288"/>
      <c r="U161" s="287"/>
      <c r="V161" s="287"/>
      <c r="W161" s="288"/>
      <c r="X161" s="287"/>
      <c r="Y161" s="287"/>
    </row>
    <row r="162" spans="2:25">
      <c r="B162" s="284"/>
      <c r="C162" s="284"/>
      <c r="D162" s="285"/>
      <c r="E162" s="284"/>
      <c r="F162" s="284"/>
      <c r="G162" s="285"/>
      <c r="H162" s="284"/>
      <c r="I162" s="284"/>
      <c r="J162" s="285"/>
      <c r="K162" s="284"/>
      <c r="L162" s="284"/>
      <c r="M162" s="285"/>
      <c r="N162" s="286"/>
      <c r="O162" s="287"/>
      <c r="P162" s="287"/>
      <c r="Q162" s="288"/>
      <c r="R162" s="287"/>
      <c r="S162" s="287"/>
      <c r="T162" s="288"/>
      <c r="U162" s="287"/>
      <c r="V162" s="287"/>
      <c r="W162" s="288"/>
      <c r="X162" s="287"/>
      <c r="Y162" s="287"/>
    </row>
    <row r="163" spans="2:25">
      <c r="B163" s="284"/>
      <c r="C163" s="284"/>
      <c r="D163" s="285"/>
      <c r="E163" s="284"/>
      <c r="F163" s="284"/>
      <c r="G163" s="285"/>
      <c r="H163" s="284"/>
      <c r="I163" s="284"/>
      <c r="J163" s="285"/>
      <c r="K163" s="284"/>
      <c r="L163" s="284"/>
      <c r="M163" s="285"/>
      <c r="N163" s="286"/>
      <c r="O163" s="287"/>
      <c r="P163" s="287"/>
      <c r="Q163" s="288"/>
      <c r="R163" s="287"/>
      <c r="S163" s="287"/>
      <c r="T163" s="288"/>
      <c r="U163" s="287"/>
      <c r="V163" s="287"/>
      <c r="W163" s="288"/>
      <c r="X163" s="287"/>
      <c r="Y163" s="287"/>
    </row>
    <row r="164" spans="2:25">
      <c r="B164" s="284"/>
      <c r="C164" s="284"/>
      <c r="D164" s="285"/>
      <c r="E164" s="284"/>
      <c r="F164" s="284"/>
      <c r="G164" s="285"/>
      <c r="H164" s="284"/>
      <c r="I164" s="284"/>
      <c r="J164" s="285"/>
      <c r="K164" s="284"/>
      <c r="L164" s="284"/>
      <c r="M164" s="285"/>
      <c r="N164" s="286"/>
      <c r="O164" s="287"/>
      <c r="P164" s="287"/>
      <c r="Q164" s="288"/>
      <c r="R164" s="287"/>
      <c r="S164" s="287"/>
      <c r="T164" s="288"/>
      <c r="U164" s="287"/>
      <c r="V164" s="287"/>
      <c r="W164" s="288"/>
      <c r="X164" s="287"/>
      <c r="Y164" s="287"/>
    </row>
    <row r="165" spans="2:25">
      <c r="B165" s="284"/>
      <c r="C165" s="284"/>
      <c r="D165" s="285"/>
      <c r="E165" s="284"/>
      <c r="F165" s="284"/>
      <c r="G165" s="285"/>
      <c r="H165" s="284"/>
      <c r="I165" s="284"/>
      <c r="J165" s="285"/>
      <c r="K165" s="284"/>
      <c r="L165" s="284"/>
      <c r="M165" s="285"/>
      <c r="N165" s="286"/>
      <c r="O165" s="287"/>
      <c r="P165" s="287"/>
      <c r="Q165" s="288"/>
      <c r="R165" s="287"/>
      <c r="S165" s="287"/>
      <c r="T165" s="288"/>
      <c r="U165" s="287"/>
      <c r="V165" s="287"/>
      <c r="W165" s="288"/>
      <c r="X165" s="287"/>
      <c r="Y165" s="287"/>
    </row>
    <row r="166" spans="2:25">
      <c r="B166" s="284"/>
      <c r="C166" s="284"/>
      <c r="D166" s="285"/>
      <c r="E166" s="284"/>
      <c r="F166" s="284"/>
      <c r="G166" s="285"/>
      <c r="H166" s="284"/>
      <c r="I166" s="284"/>
      <c r="J166" s="285"/>
      <c r="K166" s="284"/>
      <c r="L166" s="284"/>
      <c r="M166" s="285"/>
      <c r="N166" s="286"/>
      <c r="O166" s="287"/>
      <c r="P166" s="287"/>
      <c r="Q166" s="288"/>
      <c r="R166" s="287"/>
      <c r="S166" s="287"/>
      <c r="T166" s="288"/>
      <c r="U166" s="287"/>
      <c r="V166" s="287"/>
      <c r="W166" s="288"/>
      <c r="X166" s="287"/>
      <c r="Y166" s="287"/>
    </row>
    <row r="167" spans="2:25">
      <c r="B167" s="284"/>
      <c r="C167" s="284"/>
      <c r="D167" s="285"/>
      <c r="E167" s="284"/>
      <c r="F167" s="284"/>
      <c r="G167" s="285"/>
      <c r="H167" s="284"/>
      <c r="I167" s="284"/>
      <c r="J167" s="285"/>
      <c r="K167" s="284"/>
      <c r="L167" s="284"/>
      <c r="M167" s="285"/>
      <c r="N167" s="286"/>
      <c r="O167" s="287"/>
      <c r="P167" s="287"/>
      <c r="Q167" s="288"/>
      <c r="R167" s="287"/>
      <c r="S167" s="287"/>
      <c r="T167" s="288"/>
      <c r="U167" s="287"/>
      <c r="V167" s="287"/>
      <c r="W167" s="288"/>
      <c r="X167" s="287"/>
      <c r="Y167" s="287"/>
    </row>
    <row r="168" spans="2:25">
      <c r="B168" s="284"/>
      <c r="C168" s="284"/>
      <c r="D168" s="285"/>
      <c r="E168" s="284"/>
      <c r="F168" s="284"/>
      <c r="G168" s="285"/>
      <c r="H168" s="284"/>
      <c r="I168" s="284"/>
      <c r="J168" s="285"/>
      <c r="K168" s="284"/>
      <c r="L168" s="284"/>
      <c r="M168" s="285"/>
      <c r="N168" s="286"/>
      <c r="O168" s="287"/>
      <c r="P168" s="287"/>
      <c r="Q168" s="288"/>
      <c r="R168" s="287"/>
      <c r="S168" s="287"/>
      <c r="T168" s="288"/>
      <c r="U168" s="287"/>
      <c r="V168" s="287"/>
      <c r="W168" s="288"/>
      <c r="X168" s="287"/>
      <c r="Y168" s="287"/>
    </row>
    <row r="169" spans="2:25">
      <c r="B169" s="284"/>
      <c r="C169" s="284"/>
      <c r="D169" s="285"/>
      <c r="E169" s="284"/>
      <c r="F169" s="284"/>
      <c r="G169" s="285"/>
      <c r="H169" s="284"/>
      <c r="I169" s="284"/>
      <c r="J169" s="285"/>
      <c r="K169" s="284"/>
      <c r="L169" s="284"/>
      <c r="M169" s="285"/>
      <c r="N169" s="286"/>
      <c r="O169" s="287"/>
      <c r="P169" s="287"/>
      <c r="Q169" s="288"/>
      <c r="R169" s="287"/>
      <c r="S169" s="287"/>
      <c r="T169" s="288"/>
      <c r="U169" s="287"/>
      <c r="V169" s="287"/>
      <c r="W169" s="288"/>
      <c r="X169" s="287"/>
      <c r="Y169" s="287"/>
    </row>
    <row r="170" spans="2:25">
      <c r="B170" s="284"/>
      <c r="C170" s="284"/>
      <c r="D170" s="285"/>
      <c r="E170" s="284"/>
      <c r="F170" s="284"/>
      <c r="G170" s="285"/>
      <c r="H170" s="284"/>
      <c r="I170" s="284"/>
      <c r="J170" s="285"/>
      <c r="K170" s="284"/>
      <c r="L170" s="284"/>
      <c r="M170" s="285"/>
      <c r="N170" s="286"/>
      <c r="O170" s="287"/>
      <c r="P170" s="287"/>
      <c r="Q170" s="288"/>
      <c r="R170" s="287"/>
      <c r="S170" s="287"/>
      <c r="T170" s="288"/>
      <c r="U170" s="287"/>
      <c r="V170" s="287"/>
      <c r="W170" s="288"/>
      <c r="X170" s="287"/>
      <c r="Y170" s="287"/>
    </row>
    <row r="171" spans="2:25">
      <c r="B171" s="284"/>
      <c r="C171" s="284"/>
      <c r="D171" s="285"/>
      <c r="E171" s="284"/>
      <c r="F171" s="284"/>
      <c r="G171" s="285"/>
      <c r="H171" s="284"/>
      <c r="I171" s="284"/>
      <c r="J171" s="285"/>
      <c r="K171" s="284"/>
      <c r="L171" s="284"/>
      <c r="M171" s="285"/>
      <c r="N171" s="286"/>
      <c r="O171" s="287"/>
      <c r="P171" s="287"/>
      <c r="Q171" s="288"/>
      <c r="R171" s="287"/>
      <c r="S171" s="287"/>
      <c r="T171" s="288"/>
      <c r="U171" s="287"/>
      <c r="V171" s="287"/>
      <c r="W171" s="288"/>
      <c r="X171" s="287"/>
      <c r="Y171" s="287"/>
    </row>
    <row r="172" spans="2:25">
      <c r="B172" s="284"/>
      <c r="C172" s="284"/>
      <c r="D172" s="285"/>
      <c r="E172" s="284"/>
      <c r="F172" s="284"/>
      <c r="G172" s="285"/>
      <c r="H172" s="284"/>
      <c r="I172" s="284"/>
      <c r="J172" s="285"/>
      <c r="K172" s="284"/>
      <c r="L172" s="284"/>
      <c r="M172" s="285"/>
      <c r="N172" s="286"/>
      <c r="O172" s="287"/>
      <c r="P172" s="287"/>
      <c r="Q172" s="288"/>
      <c r="R172" s="287"/>
      <c r="S172" s="287"/>
      <c r="T172" s="288"/>
      <c r="U172" s="287"/>
      <c r="V172" s="287"/>
      <c r="W172" s="288"/>
      <c r="X172" s="287"/>
      <c r="Y172" s="287"/>
    </row>
    <row r="173" spans="2:25">
      <c r="B173" s="284"/>
      <c r="C173" s="284"/>
      <c r="D173" s="285"/>
      <c r="E173" s="284"/>
      <c r="F173" s="284"/>
      <c r="G173" s="285"/>
      <c r="H173" s="284"/>
      <c r="I173" s="284"/>
      <c r="J173" s="285"/>
      <c r="K173" s="284"/>
      <c r="L173" s="284"/>
      <c r="M173" s="285"/>
      <c r="N173" s="286"/>
      <c r="O173" s="287"/>
      <c r="P173" s="287"/>
      <c r="Q173" s="288"/>
      <c r="R173" s="287"/>
      <c r="S173" s="287"/>
      <c r="T173" s="288"/>
      <c r="U173" s="287"/>
      <c r="V173" s="287"/>
      <c r="W173" s="288"/>
      <c r="X173" s="287"/>
      <c r="Y173" s="287"/>
    </row>
    <row r="174" spans="2:25">
      <c r="B174" s="284"/>
      <c r="C174" s="284"/>
      <c r="D174" s="285"/>
      <c r="E174" s="284"/>
      <c r="F174" s="284"/>
      <c r="G174" s="285"/>
      <c r="H174" s="284"/>
      <c r="I174" s="284"/>
      <c r="J174" s="285"/>
      <c r="K174" s="284"/>
      <c r="L174" s="284"/>
      <c r="M174" s="285"/>
      <c r="N174" s="286"/>
      <c r="O174" s="287"/>
      <c r="P174" s="287"/>
      <c r="Q174" s="288"/>
      <c r="R174" s="287"/>
      <c r="S174" s="287"/>
      <c r="T174" s="288"/>
      <c r="U174" s="287"/>
      <c r="V174" s="287"/>
      <c r="W174" s="288"/>
      <c r="X174" s="287"/>
      <c r="Y174" s="287"/>
    </row>
    <row r="175" spans="2:25">
      <c r="B175" s="284"/>
      <c r="C175" s="284"/>
      <c r="D175" s="285"/>
      <c r="E175" s="284"/>
      <c r="F175" s="284"/>
      <c r="G175" s="285"/>
      <c r="H175" s="284"/>
      <c r="I175" s="284"/>
      <c r="J175" s="285"/>
      <c r="K175" s="284"/>
      <c r="L175" s="284"/>
      <c r="M175" s="285"/>
      <c r="N175" s="286"/>
      <c r="O175" s="287"/>
      <c r="P175" s="287"/>
      <c r="Q175" s="288"/>
      <c r="R175" s="287"/>
      <c r="S175" s="287"/>
      <c r="T175" s="288"/>
      <c r="U175" s="287"/>
      <c r="V175" s="287"/>
      <c r="W175" s="288"/>
      <c r="X175" s="287"/>
      <c r="Y175" s="287"/>
    </row>
    <row r="176" spans="2:25">
      <c r="B176" s="284"/>
      <c r="C176" s="284"/>
      <c r="D176" s="285"/>
      <c r="E176" s="284"/>
      <c r="F176" s="284"/>
      <c r="G176" s="285"/>
      <c r="H176" s="284"/>
      <c r="I176" s="284"/>
      <c r="J176" s="285"/>
      <c r="K176" s="284"/>
      <c r="L176" s="284"/>
      <c r="M176" s="285"/>
      <c r="N176" s="286"/>
      <c r="O176" s="287"/>
      <c r="P176" s="287"/>
      <c r="Q176" s="288"/>
      <c r="R176" s="287"/>
      <c r="S176" s="287"/>
      <c r="T176" s="288"/>
      <c r="U176" s="287"/>
      <c r="V176" s="287"/>
      <c r="W176" s="288"/>
      <c r="X176" s="287"/>
      <c r="Y176" s="287"/>
    </row>
    <row r="177" spans="2:25">
      <c r="B177" s="284"/>
      <c r="C177" s="284"/>
      <c r="D177" s="285"/>
      <c r="E177" s="284"/>
      <c r="F177" s="284"/>
      <c r="G177" s="285"/>
      <c r="H177" s="284"/>
      <c r="I177" s="284"/>
      <c r="J177" s="285"/>
      <c r="K177" s="284"/>
      <c r="L177" s="284"/>
      <c r="M177" s="285"/>
      <c r="N177" s="286"/>
      <c r="O177" s="287"/>
      <c r="P177" s="287"/>
      <c r="Q177" s="288"/>
      <c r="R177" s="287"/>
      <c r="S177" s="287"/>
      <c r="T177" s="288"/>
      <c r="U177" s="287"/>
      <c r="V177" s="287"/>
      <c r="W177" s="288"/>
      <c r="X177" s="287"/>
      <c r="Y177" s="287"/>
    </row>
    <row r="178" spans="2:25">
      <c r="B178" s="284"/>
      <c r="C178" s="284"/>
      <c r="D178" s="285"/>
      <c r="E178" s="284"/>
      <c r="F178" s="284"/>
      <c r="G178" s="285"/>
      <c r="H178" s="284"/>
      <c r="I178" s="284"/>
      <c r="J178" s="285"/>
      <c r="K178" s="284"/>
      <c r="L178" s="284"/>
      <c r="M178" s="285"/>
      <c r="N178" s="286"/>
      <c r="O178" s="287"/>
      <c r="P178" s="287"/>
      <c r="Q178" s="288"/>
      <c r="R178" s="287"/>
      <c r="S178" s="287"/>
      <c r="T178" s="288"/>
      <c r="U178" s="287"/>
      <c r="V178" s="287"/>
      <c r="W178" s="288"/>
      <c r="X178" s="287"/>
      <c r="Y178" s="287"/>
    </row>
    <row r="179" spans="2:25">
      <c r="B179" s="284"/>
      <c r="C179" s="284"/>
      <c r="D179" s="285"/>
      <c r="E179" s="284"/>
      <c r="F179" s="284"/>
      <c r="G179" s="285"/>
      <c r="H179" s="284"/>
      <c r="I179" s="284"/>
      <c r="J179" s="285"/>
      <c r="K179" s="284"/>
      <c r="L179" s="284"/>
      <c r="M179" s="285"/>
      <c r="N179" s="286"/>
      <c r="O179" s="287"/>
      <c r="P179" s="287"/>
      <c r="Q179" s="288"/>
      <c r="R179" s="287"/>
      <c r="S179" s="287"/>
      <c r="T179" s="288"/>
      <c r="U179" s="287"/>
      <c r="V179" s="287"/>
      <c r="W179" s="288"/>
      <c r="X179" s="287"/>
      <c r="Y179" s="287"/>
    </row>
    <row r="180" spans="2:25">
      <c r="B180" s="95"/>
      <c r="C180" s="95"/>
      <c r="D180" s="96"/>
      <c r="E180" s="95"/>
      <c r="F180" s="95"/>
      <c r="G180" s="96"/>
      <c r="H180" s="95"/>
      <c r="I180" s="95"/>
      <c r="J180" s="96"/>
      <c r="K180" s="95"/>
      <c r="L180" s="95"/>
      <c r="M180" s="89"/>
      <c r="O180" s="82"/>
      <c r="P180" s="82"/>
      <c r="Q180" s="83"/>
      <c r="R180" s="82"/>
      <c r="S180" s="82"/>
      <c r="T180" s="83"/>
      <c r="U180" s="82"/>
      <c r="V180" s="82"/>
      <c r="W180" s="83"/>
      <c r="X180" s="82"/>
      <c r="Y180" s="82"/>
    </row>
    <row r="181" spans="2:25">
      <c r="B181" s="95"/>
      <c r="C181" s="95"/>
      <c r="D181" s="96"/>
      <c r="E181" s="95"/>
      <c r="F181" s="95"/>
      <c r="G181" s="96"/>
      <c r="H181" s="95"/>
      <c r="I181" s="95"/>
      <c r="J181" s="96"/>
      <c r="K181" s="95"/>
      <c r="L181" s="95"/>
      <c r="M181" s="89"/>
      <c r="O181" s="82"/>
      <c r="P181" s="82"/>
      <c r="Q181" s="83"/>
      <c r="R181" s="82"/>
      <c r="S181" s="82"/>
      <c r="T181" s="83"/>
      <c r="U181" s="82"/>
      <c r="V181" s="82"/>
      <c r="W181" s="83"/>
      <c r="X181" s="82"/>
      <c r="Y181" s="82"/>
    </row>
    <row r="182" spans="2:25">
      <c r="B182" s="95"/>
      <c r="C182" s="95"/>
      <c r="D182" s="96"/>
      <c r="E182" s="95"/>
      <c r="F182" s="95"/>
      <c r="G182" s="96"/>
      <c r="H182" s="95"/>
      <c r="I182" s="95"/>
      <c r="J182" s="96"/>
      <c r="K182" s="95"/>
      <c r="L182" s="95"/>
      <c r="M182" s="89"/>
      <c r="O182" s="82"/>
      <c r="P182" s="82"/>
      <c r="Q182" s="83"/>
      <c r="R182" s="82"/>
      <c r="S182" s="82"/>
      <c r="T182" s="83"/>
      <c r="U182" s="82"/>
      <c r="V182" s="82"/>
      <c r="W182" s="83"/>
      <c r="X182" s="82"/>
      <c r="Y182" s="82"/>
    </row>
    <row r="183" spans="2:25">
      <c r="B183" s="95"/>
      <c r="C183" s="95"/>
      <c r="D183" s="96"/>
      <c r="E183" s="95"/>
      <c r="F183" s="95"/>
      <c r="G183" s="96"/>
      <c r="H183" s="95"/>
      <c r="I183" s="95"/>
      <c r="J183" s="96"/>
      <c r="K183" s="95"/>
      <c r="L183" s="95"/>
      <c r="M183" s="89"/>
      <c r="O183" s="82"/>
      <c r="P183" s="82"/>
      <c r="Q183" s="83"/>
      <c r="R183" s="82"/>
      <c r="S183" s="82"/>
      <c r="T183" s="83"/>
      <c r="U183" s="82"/>
      <c r="V183" s="82"/>
      <c r="W183" s="83"/>
      <c r="X183" s="82"/>
      <c r="Y183" s="82"/>
    </row>
    <row r="184" spans="2:25">
      <c r="B184" s="95"/>
      <c r="C184" s="95"/>
      <c r="D184" s="96"/>
      <c r="E184" s="95"/>
      <c r="F184" s="95"/>
      <c r="G184" s="96"/>
      <c r="H184" s="95"/>
      <c r="I184" s="95"/>
      <c r="J184" s="96"/>
      <c r="K184" s="95"/>
      <c r="L184" s="95"/>
      <c r="M184" s="89"/>
      <c r="O184" s="82"/>
      <c r="P184" s="82"/>
      <c r="Q184" s="83"/>
      <c r="R184" s="82"/>
      <c r="S184" s="82"/>
      <c r="T184" s="83"/>
      <c r="U184" s="82"/>
      <c r="V184" s="82"/>
      <c r="W184" s="83"/>
      <c r="X184" s="82"/>
      <c r="Y184" s="82"/>
    </row>
    <row r="185" spans="2:25">
      <c r="B185" s="95"/>
      <c r="C185" s="95"/>
      <c r="D185" s="96"/>
      <c r="E185" s="95"/>
      <c r="F185" s="95"/>
      <c r="G185" s="96"/>
      <c r="H185" s="95"/>
      <c r="I185" s="95"/>
      <c r="J185" s="96"/>
      <c r="K185" s="95"/>
      <c r="L185" s="95"/>
      <c r="M185" s="89"/>
      <c r="O185" s="82"/>
      <c r="P185" s="82"/>
      <c r="Q185" s="83"/>
      <c r="R185" s="82"/>
      <c r="S185" s="82"/>
      <c r="T185" s="83"/>
      <c r="U185" s="82"/>
      <c r="V185" s="82"/>
      <c r="W185" s="83"/>
      <c r="X185" s="82"/>
      <c r="Y185" s="82"/>
    </row>
    <row r="186" spans="2:25">
      <c r="B186" s="95"/>
      <c r="C186" s="95"/>
      <c r="D186" s="96"/>
      <c r="E186" s="95"/>
      <c r="F186" s="95"/>
      <c r="G186" s="96"/>
      <c r="H186" s="95"/>
      <c r="I186" s="95"/>
      <c r="J186" s="96"/>
      <c r="K186" s="95"/>
      <c r="L186" s="95"/>
      <c r="M186" s="89"/>
      <c r="O186" s="82"/>
      <c r="P186" s="82"/>
      <c r="Q186" s="83"/>
      <c r="R186" s="82"/>
      <c r="S186" s="82"/>
      <c r="T186" s="83"/>
      <c r="U186" s="82"/>
      <c r="V186" s="82"/>
      <c r="W186" s="83"/>
      <c r="X186" s="82"/>
      <c r="Y186" s="82"/>
    </row>
    <row r="187" spans="2:25">
      <c r="B187" s="95"/>
      <c r="C187" s="95"/>
      <c r="D187" s="96"/>
      <c r="E187" s="95"/>
      <c r="F187" s="95"/>
      <c r="G187" s="96"/>
      <c r="H187" s="95"/>
      <c r="I187" s="95"/>
      <c r="J187" s="96"/>
      <c r="K187" s="95"/>
      <c r="L187" s="95"/>
      <c r="M187" s="89"/>
      <c r="O187" s="82"/>
      <c r="P187" s="82"/>
      <c r="Q187" s="83"/>
      <c r="R187" s="82"/>
      <c r="S187" s="82"/>
      <c r="T187" s="83"/>
      <c r="U187" s="82"/>
      <c r="V187" s="82"/>
      <c r="W187" s="83"/>
      <c r="X187" s="82"/>
      <c r="Y187" s="82"/>
    </row>
    <row r="188" spans="2:25">
      <c r="B188" s="95"/>
      <c r="C188" s="95"/>
      <c r="D188" s="96"/>
      <c r="E188" s="95"/>
      <c r="F188" s="95"/>
      <c r="G188" s="96"/>
      <c r="H188" s="95"/>
      <c r="I188" s="95"/>
      <c r="J188" s="96"/>
      <c r="K188" s="95"/>
      <c r="L188" s="95"/>
      <c r="M188" s="89"/>
      <c r="O188" s="82"/>
      <c r="P188" s="82"/>
      <c r="Q188" s="83"/>
      <c r="R188" s="82"/>
      <c r="S188" s="82"/>
      <c r="T188" s="83"/>
      <c r="U188" s="82"/>
      <c r="V188" s="82"/>
      <c r="W188" s="83"/>
      <c r="X188" s="82"/>
      <c r="Y188" s="82"/>
    </row>
    <row r="189" spans="2:25">
      <c r="B189" s="95"/>
      <c r="C189" s="95"/>
      <c r="D189" s="96"/>
      <c r="E189" s="95"/>
      <c r="F189" s="95"/>
      <c r="G189" s="96"/>
      <c r="H189" s="95"/>
      <c r="I189" s="95"/>
      <c r="J189" s="96"/>
      <c r="K189" s="95"/>
      <c r="L189" s="95"/>
      <c r="M189" s="89"/>
      <c r="O189" s="82"/>
      <c r="P189" s="82"/>
      <c r="Q189" s="83"/>
      <c r="R189" s="82"/>
      <c r="S189" s="82"/>
      <c r="T189" s="83"/>
      <c r="U189" s="82"/>
      <c r="V189" s="82"/>
      <c r="W189" s="83"/>
      <c r="X189" s="82"/>
      <c r="Y189" s="82"/>
    </row>
    <row r="190" spans="2:25">
      <c r="B190" s="95"/>
      <c r="C190" s="95"/>
      <c r="D190" s="96"/>
      <c r="E190" s="95"/>
      <c r="F190" s="95"/>
      <c r="G190" s="96"/>
      <c r="H190" s="95"/>
      <c r="I190" s="95"/>
      <c r="J190" s="96"/>
      <c r="K190" s="95"/>
      <c r="L190" s="95"/>
      <c r="M190" s="89"/>
      <c r="O190" s="82"/>
      <c r="P190" s="82"/>
      <c r="Q190" s="83"/>
      <c r="R190" s="82"/>
      <c r="S190" s="82"/>
      <c r="T190" s="83"/>
      <c r="U190" s="82"/>
      <c r="V190" s="82"/>
      <c r="W190" s="83"/>
      <c r="X190" s="82"/>
      <c r="Y190" s="82"/>
    </row>
    <row r="191" spans="2:25">
      <c r="B191" s="95"/>
      <c r="C191" s="95"/>
      <c r="D191" s="96"/>
      <c r="E191" s="95"/>
      <c r="F191" s="95"/>
      <c r="G191" s="96"/>
      <c r="H191" s="95"/>
      <c r="I191" s="95"/>
      <c r="J191" s="96"/>
      <c r="K191" s="95"/>
      <c r="L191" s="95"/>
      <c r="M191" s="89"/>
      <c r="O191" s="82"/>
      <c r="P191" s="82"/>
      <c r="Q191" s="83"/>
      <c r="R191" s="82"/>
      <c r="S191" s="82"/>
      <c r="T191" s="83"/>
      <c r="U191" s="82"/>
      <c r="V191" s="82"/>
      <c r="W191" s="83"/>
      <c r="X191" s="82"/>
      <c r="Y191" s="82"/>
    </row>
    <row r="192" spans="2:25">
      <c r="B192" s="95"/>
      <c r="C192" s="95"/>
      <c r="D192" s="96"/>
      <c r="E192" s="95"/>
      <c r="F192" s="95"/>
      <c r="G192" s="96"/>
      <c r="H192" s="95"/>
      <c r="I192" s="95"/>
      <c r="J192" s="96"/>
      <c r="K192" s="95"/>
      <c r="L192" s="95"/>
      <c r="M192" s="89"/>
      <c r="O192" s="82"/>
      <c r="P192" s="82"/>
      <c r="Q192" s="83"/>
      <c r="R192" s="82"/>
      <c r="S192" s="82"/>
      <c r="T192" s="83"/>
      <c r="U192" s="82"/>
      <c r="V192" s="82"/>
      <c r="W192" s="83"/>
      <c r="X192" s="82"/>
      <c r="Y192" s="82"/>
    </row>
    <row r="193" spans="2:25">
      <c r="B193" s="95"/>
      <c r="C193" s="95"/>
      <c r="D193" s="96"/>
      <c r="E193" s="95"/>
      <c r="F193" s="95"/>
      <c r="G193" s="96"/>
      <c r="H193" s="95"/>
      <c r="I193" s="95"/>
      <c r="J193" s="96"/>
      <c r="K193" s="95"/>
      <c r="L193" s="95"/>
      <c r="M193" s="89"/>
      <c r="O193" s="82"/>
      <c r="P193" s="82"/>
      <c r="Q193" s="83"/>
      <c r="R193" s="82"/>
      <c r="S193" s="82"/>
      <c r="T193" s="83"/>
      <c r="U193" s="82"/>
      <c r="V193" s="82"/>
      <c r="W193" s="83"/>
      <c r="X193" s="82"/>
      <c r="Y193" s="82"/>
    </row>
    <row r="194" spans="2:25">
      <c r="B194" s="95"/>
      <c r="C194" s="95"/>
      <c r="D194" s="96"/>
      <c r="E194" s="95"/>
      <c r="F194" s="95"/>
      <c r="G194" s="96"/>
      <c r="H194" s="95"/>
      <c r="I194" s="95"/>
      <c r="J194" s="96"/>
      <c r="K194" s="95"/>
      <c r="L194" s="95"/>
      <c r="M194" s="89"/>
      <c r="O194" s="82"/>
      <c r="P194" s="82"/>
      <c r="Q194" s="83"/>
      <c r="R194" s="82"/>
      <c r="S194" s="82"/>
      <c r="T194" s="83"/>
      <c r="U194" s="82"/>
      <c r="V194" s="82"/>
      <c r="W194" s="83"/>
      <c r="X194" s="82"/>
      <c r="Y194" s="82"/>
    </row>
    <row r="195" spans="2:25">
      <c r="B195" s="95"/>
      <c r="C195" s="95"/>
      <c r="D195" s="96"/>
      <c r="E195" s="95"/>
      <c r="F195" s="95"/>
      <c r="G195" s="96"/>
      <c r="H195" s="95"/>
      <c r="I195" s="95"/>
      <c r="J195" s="96"/>
      <c r="K195" s="95"/>
      <c r="L195" s="95"/>
      <c r="M195" s="89"/>
      <c r="O195" s="82"/>
      <c r="P195" s="82"/>
      <c r="Q195" s="83"/>
      <c r="R195" s="82"/>
      <c r="S195" s="82"/>
      <c r="T195" s="83"/>
      <c r="U195" s="82"/>
      <c r="V195" s="82"/>
      <c r="W195" s="83"/>
      <c r="X195" s="82"/>
      <c r="Y195" s="82"/>
    </row>
    <row r="196" spans="2:25">
      <c r="B196" s="95"/>
      <c r="C196" s="95"/>
      <c r="D196" s="96"/>
      <c r="E196" s="95"/>
      <c r="F196" s="95"/>
      <c r="G196" s="96"/>
      <c r="H196" s="95"/>
      <c r="I196" s="95"/>
      <c r="J196" s="96"/>
      <c r="K196" s="95"/>
      <c r="L196" s="95"/>
      <c r="M196" s="89"/>
      <c r="O196" s="82"/>
      <c r="P196" s="82"/>
      <c r="Q196" s="83"/>
      <c r="R196" s="82"/>
      <c r="S196" s="82"/>
      <c r="T196" s="83"/>
      <c r="U196" s="82"/>
      <c r="V196" s="82"/>
      <c r="W196" s="83"/>
      <c r="X196" s="82"/>
      <c r="Y196" s="82"/>
    </row>
    <row r="197" spans="2:25">
      <c r="B197" s="95"/>
      <c r="C197" s="95"/>
      <c r="D197" s="96"/>
      <c r="E197" s="95"/>
      <c r="F197" s="95"/>
      <c r="G197" s="96"/>
      <c r="H197" s="95"/>
      <c r="I197" s="95"/>
      <c r="J197" s="96"/>
      <c r="K197" s="95"/>
      <c r="L197" s="95"/>
      <c r="M197" s="89"/>
      <c r="O197" s="82"/>
      <c r="P197" s="82"/>
      <c r="Q197" s="83"/>
      <c r="R197" s="82"/>
      <c r="S197" s="82"/>
      <c r="T197" s="83"/>
      <c r="U197" s="82"/>
      <c r="V197" s="82"/>
      <c r="W197" s="83"/>
      <c r="X197" s="82"/>
      <c r="Y197" s="82"/>
    </row>
    <row r="198" spans="2:25">
      <c r="B198" s="95"/>
      <c r="C198" s="95"/>
      <c r="D198" s="96"/>
      <c r="E198" s="95"/>
      <c r="F198" s="95"/>
      <c r="G198" s="96"/>
      <c r="H198" s="95"/>
      <c r="I198" s="95"/>
      <c r="J198" s="96"/>
      <c r="K198" s="95"/>
      <c r="L198" s="95"/>
      <c r="M198" s="89"/>
      <c r="O198" s="82"/>
      <c r="P198" s="82"/>
      <c r="Q198" s="83"/>
      <c r="R198" s="82"/>
      <c r="S198" s="82"/>
      <c r="T198" s="83"/>
      <c r="U198" s="82"/>
      <c r="V198" s="82"/>
      <c r="W198" s="83"/>
      <c r="X198" s="82"/>
      <c r="Y198" s="82"/>
    </row>
    <row r="199" spans="2:25">
      <c r="B199" s="95"/>
      <c r="C199" s="95"/>
      <c r="D199" s="96"/>
      <c r="E199" s="95"/>
      <c r="F199" s="95"/>
      <c r="G199" s="96"/>
      <c r="H199" s="95"/>
      <c r="I199" s="95"/>
      <c r="J199" s="96"/>
      <c r="K199" s="95"/>
      <c r="L199" s="95"/>
      <c r="M199" s="89"/>
      <c r="O199" s="82"/>
      <c r="P199" s="82"/>
      <c r="Q199" s="83"/>
      <c r="R199" s="82"/>
      <c r="S199" s="82"/>
      <c r="T199" s="83"/>
      <c r="U199" s="82"/>
      <c r="V199" s="82"/>
      <c r="W199" s="83"/>
      <c r="X199" s="82"/>
      <c r="Y199" s="82"/>
    </row>
    <row r="200" spans="2:25">
      <c r="B200" s="95"/>
      <c r="C200" s="95"/>
      <c r="D200" s="96"/>
      <c r="E200" s="95"/>
      <c r="F200" s="95"/>
      <c r="G200" s="96"/>
      <c r="H200" s="95"/>
      <c r="I200" s="95"/>
      <c r="J200" s="96"/>
      <c r="K200" s="95"/>
      <c r="L200" s="95"/>
      <c r="M200" s="89"/>
      <c r="O200" s="82"/>
      <c r="P200" s="82"/>
      <c r="Q200" s="83"/>
      <c r="R200" s="82"/>
      <c r="S200" s="82"/>
      <c r="T200" s="83"/>
      <c r="U200" s="82"/>
      <c r="V200" s="82"/>
      <c r="W200" s="83"/>
      <c r="X200" s="82"/>
      <c r="Y200" s="82"/>
    </row>
    <row r="201" spans="2:25">
      <c r="B201" s="95"/>
      <c r="C201" s="95"/>
      <c r="D201" s="96"/>
      <c r="E201" s="95"/>
      <c r="F201" s="95"/>
      <c r="G201" s="96"/>
      <c r="H201" s="95"/>
      <c r="I201" s="95"/>
      <c r="J201" s="96"/>
      <c r="K201" s="95"/>
      <c r="L201" s="95"/>
      <c r="M201" s="89"/>
      <c r="O201" s="82"/>
      <c r="P201" s="82"/>
      <c r="Q201" s="83"/>
      <c r="R201" s="82"/>
      <c r="S201" s="82"/>
      <c r="T201" s="83"/>
      <c r="U201" s="82"/>
      <c r="V201" s="82"/>
      <c r="W201" s="83"/>
      <c r="X201" s="82"/>
      <c r="Y201" s="82"/>
    </row>
    <row r="202" spans="2:25">
      <c r="B202" s="95"/>
      <c r="C202" s="95"/>
      <c r="D202" s="96"/>
      <c r="E202" s="95"/>
      <c r="F202" s="95"/>
      <c r="G202" s="96"/>
      <c r="H202" s="95"/>
      <c r="I202" s="95"/>
      <c r="J202" s="96"/>
      <c r="K202" s="95"/>
      <c r="L202" s="95"/>
      <c r="M202" s="89"/>
      <c r="O202" s="82"/>
      <c r="P202" s="82"/>
      <c r="Q202" s="83"/>
      <c r="R202" s="82"/>
      <c r="S202" s="82"/>
      <c r="T202" s="83"/>
      <c r="U202" s="82"/>
      <c r="V202" s="82"/>
      <c r="W202" s="83"/>
      <c r="X202" s="82"/>
      <c r="Y202" s="82"/>
    </row>
    <row r="203" spans="2:25">
      <c r="B203" s="95"/>
      <c r="C203" s="95"/>
      <c r="D203" s="96"/>
      <c r="E203" s="95"/>
      <c r="F203" s="95"/>
      <c r="G203" s="96"/>
      <c r="H203" s="95"/>
      <c r="I203" s="95"/>
      <c r="J203" s="96"/>
      <c r="K203" s="95"/>
      <c r="L203" s="95"/>
      <c r="M203" s="89"/>
      <c r="O203" s="82"/>
      <c r="P203" s="82"/>
      <c r="Q203" s="83"/>
      <c r="R203" s="82"/>
      <c r="S203" s="82"/>
      <c r="T203" s="83"/>
      <c r="U203" s="82"/>
      <c r="V203" s="82"/>
      <c r="W203" s="83"/>
      <c r="X203" s="82"/>
      <c r="Y203" s="82"/>
    </row>
    <row r="204" spans="2:25">
      <c r="B204" s="95"/>
      <c r="C204" s="95"/>
      <c r="D204" s="96"/>
      <c r="E204" s="95"/>
      <c r="F204" s="95"/>
      <c r="G204" s="96"/>
      <c r="H204" s="95"/>
      <c r="I204" s="95"/>
      <c r="J204" s="96"/>
      <c r="K204" s="95"/>
      <c r="L204" s="95"/>
      <c r="M204" s="89"/>
      <c r="O204" s="82"/>
      <c r="P204" s="82"/>
      <c r="Q204" s="83"/>
      <c r="R204" s="82"/>
      <c r="S204" s="82"/>
      <c r="T204" s="83"/>
      <c r="U204" s="82"/>
      <c r="V204" s="82"/>
      <c r="W204" s="83"/>
      <c r="X204" s="82"/>
      <c r="Y204" s="82"/>
    </row>
    <row r="205" spans="2:25">
      <c r="B205" s="95"/>
      <c r="C205" s="95"/>
      <c r="D205" s="96"/>
      <c r="E205" s="95"/>
      <c r="F205" s="95"/>
      <c r="G205" s="96"/>
      <c r="H205" s="95"/>
      <c r="I205" s="95"/>
      <c r="J205" s="96"/>
      <c r="K205" s="95"/>
      <c r="L205" s="95"/>
      <c r="M205" s="89"/>
      <c r="O205" s="82"/>
      <c r="P205" s="82"/>
      <c r="Q205" s="83"/>
      <c r="R205" s="82"/>
      <c r="S205" s="82"/>
      <c r="T205" s="83"/>
      <c r="U205" s="82"/>
      <c r="V205" s="82"/>
      <c r="W205" s="83"/>
      <c r="X205" s="82"/>
      <c r="Y205" s="82"/>
    </row>
    <row r="206" spans="2:25">
      <c r="B206" s="95"/>
      <c r="C206" s="95"/>
      <c r="D206" s="96"/>
      <c r="E206" s="95"/>
      <c r="F206" s="95"/>
      <c r="G206" s="96"/>
      <c r="H206" s="95"/>
      <c r="I206" s="95"/>
      <c r="J206" s="96"/>
      <c r="K206" s="95"/>
      <c r="L206" s="95"/>
      <c r="M206" s="89"/>
      <c r="O206" s="82"/>
      <c r="P206" s="82"/>
      <c r="Q206" s="83"/>
      <c r="R206" s="82"/>
      <c r="S206" s="82"/>
      <c r="T206" s="83"/>
      <c r="U206" s="82"/>
      <c r="V206" s="82"/>
      <c r="W206" s="83"/>
      <c r="X206" s="82"/>
      <c r="Y206" s="82"/>
    </row>
    <row r="207" spans="2:25">
      <c r="B207" s="95"/>
      <c r="C207" s="95"/>
      <c r="D207" s="96"/>
      <c r="E207" s="95"/>
      <c r="F207" s="95"/>
      <c r="G207" s="96"/>
      <c r="H207" s="95"/>
      <c r="I207" s="95"/>
      <c r="J207" s="96"/>
      <c r="K207" s="95"/>
      <c r="L207" s="95"/>
      <c r="M207" s="89"/>
      <c r="O207" s="82"/>
      <c r="P207" s="82"/>
      <c r="Q207" s="83"/>
      <c r="R207" s="82"/>
      <c r="S207" s="82"/>
      <c r="T207" s="83"/>
      <c r="U207" s="82"/>
      <c r="V207" s="82"/>
      <c r="W207" s="83"/>
      <c r="X207" s="82"/>
      <c r="Y207" s="82"/>
    </row>
    <row r="208" spans="2:25">
      <c r="B208" s="95"/>
      <c r="C208" s="95"/>
      <c r="D208" s="96"/>
      <c r="E208" s="95"/>
      <c r="F208" s="95"/>
      <c r="G208" s="96"/>
      <c r="H208" s="95"/>
      <c r="I208" s="95"/>
      <c r="J208" s="96"/>
      <c r="K208" s="95"/>
      <c r="L208" s="95"/>
      <c r="M208" s="89"/>
      <c r="O208" s="82"/>
      <c r="P208" s="82"/>
      <c r="Q208" s="83"/>
      <c r="R208" s="82"/>
      <c r="S208" s="82"/>
      <c r="T208" s="83"/>
      <c r="U208" s="82"/>
      <c r="V208" s="82"/>
      <c r="W208" s="83"/>
      <c r="X208" s="82"/>
      <c r="Y208" s="82"/>
    </row>
    <row r="209" spans="2:25">
      <c r="B209" s="95"/>
      <c r="C209" s="95"/>
      <c r="D209" s="96"/>
      <c r="E209" s="95"/>
      <c r="F209" s="95"/>
      <c r="G209" s="96"/>
      <c r="H209" s="95"/>
      <c r="I209" s="95"/>
      <c r="J209" s="96"/>
      <c r="K209" s="95"/>
      <c r="L209" s="95"/>
      <c r="M209" s="89"/>
      <c r="O209" s="82"/>
      <c r="P209" s="82"/>
      <c r="Q209" s="83"/>
      <c r="R209" s="82"/>
      <c r="S209" s="82"/>
      <c r="T209" s="83"/>
      <c r="U209" s="82"/>
      <c r="V209" s="82"/>
      <c r="W209" s="83"/>
      <c r="X209" s="82"/>
      <c r="Y209" s="82"/>
    </row>
    <row r="210" spans="2:25">
      <c r="B210" s="95"/>
      <c r="C210" s="95"/>
      <c r="D210" s="96"/>
      <c r="E210" s="95"/>
      <c r="F210" s="95"/>
      <c r="G210" s="96"/>
      <c r="H210" s="95"/>
      <c r="I210" s="95"/>
      <c r="J210" s="96"/>
      <c r="K210" s="95"/>
      <c r="L210" s="95"/>
      <c r="M210" s="89"/>
      <c r="O210" s="82"/>
      <c r="P210" s="82"/>
      <c r="Q210" s="83"/>
      <c r="R210" s="82"/>
      <c r="S210" s="82"/>
      <c r="T210" s="83"/>
      <c r="U210" s="82"/>
      <c r="V210" s="82"/>
      <c r="W210" s="83"/>
      <c r="X210" s="82"/>
      <c r="Y210" s="82"/>
    </row>
    <row r="211" spans="2:25">
      <c r="B211" s="95"/>
      <c r="C211" s="95"/>
      <c r="D211" s="96"/>
      <c r="E211" s="95"/>
      <c r="F211" s="95"/>
      <c r="G211" s="96"/>
      <c r="H211" s="95"/>
      <c r="I211" s="95"/>
      <c r="J211" s="96"/>
      <c r="K211" s="95"/>
      <c r="L211" s="95"/>
      <c r="M211" s="89"/>
      <c r="O211" s="82"/>
      <c r="P211" s="82"/>
      <c r="Q211" s="83"/>
      <c r="R211" s="82"/>
      <c r="S211" s="82"/>
      <c r="T211" s="83"/>
      <c r="U211" s="82"/>
      <c r="V211" s="82"/>
      <c r="W211" s="83"/>
      <c r="X211" s="82"/>
      <c r="Y211" s="82"/>
    </row>
    <row r="212" spans="2:25">
      <c r="B212" s="95"/>
      <c r="C212" s="95"/>
      <c r="D212" s="96"/>
      <c r="E212" s="95"/>
      <c r="F212" s="95"/>
      <c r="G212" s="96"/>
      <c r="H212" s="95"/>
      <c r="I212" s="95"/>
      <c r="J212" s="96"/>
      <c r="K212" s="95"/>
      <c r="L212" s="95"/>
      <c r="M212" s="89"/>
      <c r="O212" s="82"/>
      <c r="P212" s="82"/>
      <c r="Q212" s="83"/>
      <c r="R212" s="82"/>
      <c r="S212" s="82"/>
      <c r="T212" s="83"/>
      <c r="U212" s="82"/>
      <c r="V212" s="82"/>
      <c r="W212" s="83"/>
      <c r="X212" s="82"/>
      <c r="Y212" s="82"/>
    </row>
    <row r="213" spans="2:25">
      <c r="B213" s="95"/>
      <c r="C213" s="95"/>
      <c r="D213" s="96"/>
      <c r="E213" s="95"/>
      <c r="F213" s="95"/>
      <c r="G213" s="96"/>
      <c r="H213" s="95"/>
      <c r="I213" s="95"/>
      <c r="J213" s="96"/>
      <c r="K213" s="95"/>
      <c r="L213" s="95"/>
      <c r="M213" s="89"/>
      <c r="O213" s="82"/>
      <c r="P213" s="82"/>
      <c r="Q213" s="83"/>
      <c r="R213" s="82"/>
      <c r="S213" s="82"/>
      <c r="T213" s="83"/>
      <c r="U213" s="82"/>
      <c r="V213" s="82"/>
      <c r="W213" s="83"/>
      <c r="X213" s="82"/>
      <c r="Y213" s="82"/>
    </row>
    <row r="214" spans="2:25">
      <c r="B214" s="95"/>
      <c r="C214" s="95"/>
      <c r="D214" s="96"/>
      <c r="E214" s="95"/>
      <c r="F214" s="95"/>
      <c r="G214" s="96"/>
      <c r="H214" s="95"/>
      <c r="I214" s="95"/>
      <c r="J214" s="96"/>
      <c r="K214" s="95"/>
      <c r="L214" s="95"/>
      <c r="M214" s="89"/>
      <c r="O214" s="82"/>
      <c r="P214" s="82"/>
      <c r="Q214" s="83"/>
      <c r="R214" s="82"/>
      <c r="S214" s="82"/>
      <c r="T214" s="83"/>
      <c r="U214" s="82"/>
      <c r="V214" s="82"/>
      <c r="W214" s="83"/>
      <c r="X214" s="82"/>
      <c r="Y214" s="82"/>
    </row>
    <row r="215" spans="2:25">
      <c r="B215" s="95"/>
      <c r="C215" s="95"/>
      <c r="D215" s="96"/>
      <c r="E215" s="95"/>
      <c r="F215" s="95"/>
      <c r="G215" s="96"/>
      <c r="H215" s="95"/>
      <c r="I215" s="95"/>
      <c r="J215" s="96"/>
      <c r="K215" s="95"/>
      <c r="L215" s="95"/>
      <c r="M215" s="89"/>
      <c r="O215" s="82"/>
      <c r="P215" s="82"/>
      <c r="Q215" s="83"/>
      <c r="R215" s="82"/>
      <c r="S215" s="82"/>
      <c r="T215" s="83"/>
      <c r="U215" s="82"/>
      <c r="V215" s="82"/>
      <c r="W215" s="83"/>
      <c r="X215" s="82"/>
      <c r="Y215" s="82"/>
    </row>
    <row r="216" spans="2:25">
      <c r="B216" s="95"/>
      <c r="C216" s="95"/>
      <c r="D216" s="96"/>
      <c r="E216" s="95"/>
      <c r="F216" s="95"/>
      <c r="G216" s="96"/>
      <c r="H216" s="95"/>
      <c r="I216" s="95"/>
      <c r="J216" s="96"/>
      <c r="K216" s="95"/>
      <c r="L216" s="95"/>
      <c r="M216" s="89"/>
      <c r="O216" s="82"/>
      <c r="P216" s="82"/>
      <c r="Q216" s="83"/>
      <c r="R216" s="82"/>
      <c r="S216" s="82"/>
      <c r="T216" s="83"/>
      <c r="U216" s="82"/>
      <c r="V216" s="82"/>
      <c r="W216" s="83"/>
      <c r="X216" s="82"/>
      <c r="Y216" s="82"/>
    </row>
    <row r="217" spans="2:25">
      <c r="B217" s="95"/>
      <c r="C217" s="95"/>
      <c r="D217" s="96"/>
      <c r="E217" s="95"/>
      <c r="F217" s="95"/>
      <c r="G217" s="96"/>
      <c r="H217" s="95"/>
      <c r="I217" s="95"/>
      <c r="J217" s="96"/>
      <c r="K217" s="95"/>
      <c r="L217" s="95"/>
      <c r="M217" s="89"/>
      <c r="O217" s="82"/>
      <c r="P217" s="82"/>
      <c r="Q217" s="83"/>
      <c r="R217" s="82"/>
      <c r="S217" s="82"/>
      <c r="T217" s="83"/>
      <c r="U217" s="82"/>
      <c r="V217" s="82"/>
      <c r="W217" s="83"/>
      <c r="X217" s="82"/>
      <c r="Y217" s="82"/>
    </row>
    <row r="218" spans="2:25">
      <c r="B218" s="95"/>
      <c r="C218" s="95"/>
      <c r="D218" s="96"/>
      <c r="E218" s="95"/>
      <c r="F218" s="95"/>
      <c r="G218" s="96"/>
      <c r="H218" s="95"/>
      <c r="I218" s="95"/>
      <c r="J218" s="96"/>
      <c r="K218" s="95"/>
      <c r="L218" s="95"/>
      <c r="M218" s="89"/>
      <c r="O218" s="82"/>
      <c r="P218" s="82"/>
      <c r="Q218" s="83"/>
      <c r="R218" s="82"/>
      <c r="S218" s="82"/>
      <c r="T218" s="83"/>
      <c r="U218" s="82"/>
      <c r="V218" s="82"/>
      <c r="W218" s="83"/>
      <c r="X218" s="82"/>
      <c r="Y218" s="82"/>
    </row>
    <row r="219" spans="2:25">
      <c r="B219" s="95"/>
      <c r="C219" s="95"/>
      <c r="D219" s="96"/>
      <c r="E219" s="95"/>
      <c r="F219" s="95"/>
      <c r="G219" s="96"/>
      <c r="H219" s="95"/>
      <c r="I219" s="95"/>
      <c r="J219" s="96"/>
      <c r="K219" s="95"/>
      <c r="L219" s="95"/>
      <c r="M219" s="89"/>
      <c r="O219" s="82"/>
      <c r="P219" s="82"/>
      <c r="Q219" s="83"/>
      <c r="R219" s="82"/>
      <c r="S219" s="82"/>
      <c r="T219" s="83"/>
      <c r="U219" s="82"/>
      <c r="V219" s="82"/>
      <c r="W219" s="83"/>
      <c r="X219" s="82"/>
      <c r="Y219" s="82"/>
    </row>
    <row r="220" spans="2:25">
      <c r="B220" s="95"/>
      <c r="C220" s="95"/>
      <c r="D220" s="96"/>
      <c r="E220" s="95"/>
      <c r="F220" s="95"/>
      <c r="G220" s="96"/>
      <c r="H220" s="95"/>
      <c r="I220" s="95"/>
      <c r="J220" s="96"/>
      <c r="K220" s="95"/>
      <c r="L220" s="95"/>
      <c r="M220" s="89"/>
      <c r="O220" s="82"/>
      <c r="P220" s="82"/>
      <c r="Q220" s="83"/>
      <c r="R220" s="82"/>
      <c r="S220" s="82"/>
      <c r="T220" s="83"/>
      <c r="U220" s="82"/>
      <c r="V220" s="82"/>
      <c r="W220" s="83"/>
      <c r="X220" s="82"/>
      <c r="Y220" s="82"/>
    </row>
    <row r="221" spans="2:25">
      <c r="B221" s="95"/>
      <c r="C221" s="95"/>
      <c r="D221" s="96"/>
      <c r="E221" s="95"/>
      <c r="F221" s="95"/>
      <c r="G221" s="96"/>
      <c r="H221" s="95"/>
      <c r="I221" s="95"/>
      <c r="J221" s="96"/>
      <c r="K221" s="95"/>
      <c r="L221" s="95"/>
      <c r="M221" s="89"/>
      <c r="O221" s="82"/>
      <c r="P221" s="82"/>
      <c r="Q221" s="83"/>
      <c r="R221" s="82"/>
      <c r="S221" s="82"/>
      <c r="T221" s="83"/>
      <c r="U221" s="82"/>
      <c r="V221" s="82"/>
      <c r="W221" s="83"/>
      <c r="X221" s="82"/>
      <c r="Y221" s="82"/>
    </row>
    <row r="222" spans="2:25">
      <c r="B222" s="95"/>
      <c r="C222" s="95"/>
      <c r="D222" s="96"/>
      <c r="E222" s="95"/>
      <c r="F222" s="95"/>
      <c r="G222" s="96"/>
      <c r="H222" s="95"/>
      <c r="I222" s="95"/>
      <c r="J222" s="96"/>
      <c r="K222" s="95"/>
      <c r="L222" s="95"/>
      <c r="M222" s="89"/>
      <c r="O222" s="82"/>
      <c r="P222" s="82"/>
      <c r="Q222" s="83"/>
      <c r="R222" s="82"/>
      <c r="S222" s="82"/>
      <c r="T222" s="83"/>
      <c r="U222" s="82"/>
      <c r="V222" s="82"/>
      <c r="W222" s="83"/>
      <c r="X222" s="82"/>
      <c r="Y222" s="82"/>
    </row>
    <row r="223" spans="2:25">
      <c r="B223" s="95"/>
      <c r="C223" s="95"/>
      <c r="D223" s="96"/>
      <c r="E223" s="95"/>
      <c r="F223" s="95"/>
      <c r="G223" s="96"/>
      <c r="H223" s="95"/>
      <c r="I223" s="95"/>
      <c r="J223" s="96"/>
      <c r="K223" s="95"/>
      <c r="L223" s="95"/>
      <c r="M223" s="89"/>
      <c r="O223" s="82"/>
      <c r="P223" s="82"/>
      <c r="Q223" s="83"/>
      <c r="R223" s="82"/>
      <c r="S223" s="82"/>
      <c r="T223" s="83"/>
      <c r="U223" s="82"/>
      <c r="V223" s="82"/>
      <c r="W223" s="83"/>
      <c r="X223" s="82"/>
      <c r="Y223" s="82"/>
    </row>
    <row r="224" spans="2:25">
      <c r="B224" s="95"/>
      <c r="C224" s="95"/>
      <c r="D224" s="96"/>
      <c r="E224" s="95"/>
      <c r="F224" s="95"/>
      <c r="G224" s="96"/>
      <c r="H224" s="95"/>
      <c r="I224" s="95"/>
      <c r="J224" s="96"/>
      <c r="K224" s="95"/>
      <c r="L224" s="95"/>
      <c r="M224" s="89"/>
      <c r="O224" s="82"/>
      <c r="P224" s="82"/>
      <c r="Q224" s="83"/>
      <c r="R224" s="82"/>
      <c r="S224" s="82"/>
      <c r="T224" s="83"/>
      <c r="U224" s="82"/>
      <c r="V224" s="82"/>
      <c r="W224" s="83"/>
      <c r="X224" s="82"/>
      <c r="Y224" s="82"/>
    </row>
    <row r="225" spans="2:25">
      <c r="B225" s="95"/>
      <c r="C225" s="95"/>
      <c r="D225" s="96"/>
      <c r="E225" s="95"/>
      <c r="F225" s="95"/>
      <c r="G225" s="96"/>
      <c r="H225" s="95"/>
      <c r="I225" s="95"/>
      <c r="J225" s="96"/>
      <c r="K225" s="95"/>
      <c r="L225" s="95"/>
      <c r="M225" s="89"/>
      <c r="O225" s="82"/>
      <c r="P225" s="82"/>
      <c r="Q225" s="83"/>
      <c r="R225" s="82"/>
      <c r="S225" s="82"/>
      <c r="T225" s="83"/>
      <c r="U225" s="82"/>
      <c r="V225" s="82"/>
      <c r="W225" s="83"/>
      <c r="X225" s="82"/>
      <c r="Y225" s="82"/>
    </row>
    <row r="226" spans="2:25">
      <c r="B226" s="95"/>
      <c r="C226" s="95"/>
      <c r="D226" s="96"/>
      <c r="E226" s="95"/>
      <c r="F226" s="95"/>
      <c r="G226" s="96"/>
      <c r="H226" s="95"/>
      <c r="I226" s="95"/>
      <c r="J226" s="96"/>
      <c r="K226" s="95"/>
      <c r="L226" s="95"/>
      <c r="M226" s="89"/>
      <c r="O226" s="82"/>
      <c r="P226" s="82"/>
      <c r="Q226" s="83"/>
      <c r="R226" s="82"/>
      <c r="S226" s="82"/>
      <c r="T226" s="83"/>
      <c r="U226" s="82"/>
      <c r="V226" s="82"/>
      <c r="W226" s="83"/>
      <c r="X226" s="82"/>
      <c r="Y226" s="82"/>
    </row>
    <row r="227" spans="2:25">
      <c r="B227" s="95"/>
      <c r="C227" s="95"/>
      <c r="D227" s="96"/>
      <c r="E227" s="95"/>
      <c r="F227" s="95"/>
      <c r="G227" s="96"/>
      <c r="H227" s="95"/>
      <c r="I227" s="95"/>
      <c r="J227" s="96"/>
      <c r="K227" s="95"/>
      <c r="L227" s="95"/>
      <c r="M227" s="89"/>
      <c r="O227" s="82"/>
      <c r="P227" s="82"/>
      <c r="Q227" s="83"/>
      <c r="R227" s="82"/>
      <c r="S227" s="82"/>
      <c r="T227" s="83"/>
      <c r="U227" s="82"/>
      <c r="V227" s="82"/>
      <c r="W227" s="83"/>
      <c r="X227" s="82"/>
      <c r="Y227" s="82"/>
    </row>
    <row r="228" spans="2:25">
      <c r="B228" s="95"/>
      <c r="C228" s="95"/>
      <c r="D228" s="96"/>
      <c r="E228" s="95"/>
      <c r="F228" s="95"/>
      <c r="G228" s="96"/>
      <c r="H228" s="95"/>
      <c r="I228" s="95"/>
      <c r="J228" s="96"/>
      <c r="K228" s="95"/>
      <c r="L228" s="95"/>
      <c r="M228" s="89"/>
      <c r="O228" s="82"/>
      <c r="P228" s="82"/>
      <c r="Q228" s="83"/>
      <c r="R228" s="82"/>
      <c r="S228" s="82"/>
      <c r="T228" s="83"/>
      <c r="U228" s="82"/>
      <c r="V228" s="82"/>
      <c r="W228" s="83"/>
      <c r="X228" s="82"/>
      <c r="Y228" s="82"/>
    </row>
    <row r="229" spans="2:25">
      <c r="B229" s="95"/>
      <c r="C229" s="95"/>
      <c r="D229" s="96"/>
      <c r="E229" s="95"/>
      <c r="F229" s="95"/>
      <c r="G229" s="96"/>
      <c r="H229" s="95"/>
      <c r="I229" s="95"/>
      <c r="J229" s="96"/>
      <c r="K229" s="95"/>
      <c r="L229" s="95"/>
      <c r="M229" s="89"/>
      <c r="O229" s="82"/>
      <c r="P229" s="82"/>
      <c r="Q229" s="83"/>
      <c r="R229" s="82"/>
      <c r="S229" s="82"/>
      <c r="T229" s="83"/>
      <c r="U229" s="82"/>
      <c r="V229" s="82"/>
      <c r="W229" s="83"/>
      <c r="X229" s="82"/>
      <c r="Y229" s="82"/>
    </row>
    <row r="230" spans="2:25">
      <c r="B230" s="95"/>
      <c r="C230" s="95"/>
      <c r="D230" s="96"/>
      <c r="E230" s="95"/>
      <c r="F230" s="95"/>
      <c r="G230" s="96"/>
      <c r="H230" s="95"/>
      <c r="I230" s="95"/>
      <c r="J230" s="96"/>
      <c r="K230" s="95"/>
      <c r="L230" s="95"/>
      <c r="M230" s="89"/>
      <c r="O230" s="82"/>
      <c r="P230" s="82"/>
      <c r="Q230" s="83"/>
      <c r="R230" s="82"/>
      <c r="S230" s="82"/>
      <c r="T230" s="83"/>
      <c r="U230" s="82"/>
      <c r="V230" s="82"/>
      <c r="W230" s="83"/>
      <c r="X230" s="82"/>
      <c r="Y230" s="82"/>
    </row>
    <row r="231" spans="2:25">
      <c r="B231" s="95"/>
      <c r="C231" s="95"/>
      <c r="D231" s="96"/>
      <c r="E231" s="95"/>
      <c r="F231" s="95"/>
      <c r="G231" s="96"/>
      <c r="H231" s="95"/>
      <c r="I231" s="95"/>
      <c r="J231" s="96"/>
      <c r="K231" s="95"/>
      <c r="L231" s="95"/>
      <c r="M231" s="89"/>
      <c r="O231" s="82"/>
      <c r="P231" s="82"/>
      <c r="Q231" s="83"/>
      <c r="R231" s="82"/>
      <c r="S231" s="82"/>
      <c r="T231" s="83"/>
      <c r="U231" s="82"/>
      <c r="V231" s="82"/>
      <c r="W231" s="83"/>
      <c r="X231" s="82"/>
      <c r="Y231" s="82"/>
    </row>
    <row r="232" spans="2:25">
      <c r="B232" s="95"/>
      <c r="C232" s="95"/>
      <c r="D232" s="96"/>
      <c r="E232" s="95"/>
      <c r="F232" s="95"/>
      <c r="G232" s="96"/>
      <c r="H232" s="95"/>
      <c r="I232" s="95"/>
      <c r="J232" s="96"/>
      <c r="K232" s="95"/>
      <c r="L232" s="95"/>
      <c r="M232" s="89"/>
      <c r="O232" s="82"/>
      <c r="P232" s="82"/>
      <c r="Q232" s="83"/>
      <c r="R232" s="82"/>
      <c r="S232" s="82"/>
      <c r="T232" s="83"/>
      <c r="U232" s="82"/>
      <c r="V232" s="82"/>
      <c r="W232" s="83"/>
      <c r="X232" s="82"/>
      <c r="Y232" s="82"/>
    </row>
    <row r="233" spans="2:25">
      <c r="B233" s="95"/>
      <c r="C233" s="95"/>
      <c r="D233" s="96"/>
      <c r="E233" s="95"/>
      <c r="F233" s="95"/>
      <c r="G233" s="96"/>
      <c r="H233" s="95"/>
      <c r="I233" s="95"/>
      <c r="J233" s="96"/>
      <c r="K233" s="95"/>
      <c r="L233" s="95"/>
      <c r="M233" s="89"/>
      <c r="O233" s="82"/>
      <c r="P233" s="82"/>
      <c r="Q233" s="83"/>
      <c r="R233" s="82"/>
      <c r="S233" s="82"/>
      <c r="T233" s="83"/>
      <c r="U233" s="82"/>
      <c r="V233" s="82"/>
      <c r="W233" s="83"/>
      <c r="X233" s="82"/>
      <c r="Y233" s="82"/>
    </row>
    <row r="234" spans="2:25">
      <c r="B234" s="95"/>
      <c r="C234" s="95"/>
      <c r="D234" s="96"/>
      <c r="E234" s="95"/>
      <c r="F234" s="95"/>
      <c r="G234" s="96"/>
      <c r="H234" s="95"/>
      <c r="I234" s="95"/>
      <c r="J234" s="96"/>
      <c r="K234" s="95"/>
      <c r="L234" s="95"/>
      <c r="M234" s="89"/>
      <c r="O234" s="82"/>
      <c r="P234" s="82"/>
      <c r="Q234" s="83"/>
      <c r="R234" s="82"/>
      <c r="S234" s="82"/>
      <c r="T234" s="83"/>
      <c r="U234" s="82"/>
      <c r="V234" s="82"/>
      <c r="W234" s="83"/>
      <c r="X234" s="82"/>
      <c r="Y234" s="82"/>
    </row>
    <row r="235" spans="2:25">
      <c r="B235" s="95"/>
      <c r="C235" s="95"/>
      <c r="D235" s="96"/>
      <c r="E235" s="95"/>
      <c r="F235" s="95"/>
      <c r="G235" s="96"/>
      <c r="H235" s="95"/>
      <c r="I235" s="95"/>
      <c r="J235" s="96"/>
      <c r="K235" s="95"/>
      <c r="L235" s="95"/>
      <c r="M235" s="89"/>
      <c r="O235" s="82"/>
      <c r="P235" s="82"/>
      <c r="Q235" s="83"/>
      <c r="R235" s="82"/>
      <c r="S235" s="82"/>
      <c r="T235" s="83"/>
      <c r="U235" s="82"/>
      <c r="V235" s="82"/>
      <c r="W235" s="83"/>
      <c r="X235" s="82"/>
      <c r="Y235" s="82"/>
    </row>
    <row r="236" spans="2:25">
      <c r="B236" s="95"/>
      <c r="C236" s="95"/>
      <c r="D236" s="96"/>
      <c r="E236" s="95"/>
      <c r="F236" s="95"/>
      <c r="G236" s="96"/>
      <c r="H236" s="95"/>
      <c r="I236" s="95"/>
      <c r="J236" s="96"/>
      <c r="K236" s="95"/>
      <c r="L236" s="95"/>
      <c r="M236" s="89"/>
      <c r="O236" s="82"/>
      <c r="P236" s="82"/>
      <c r="Q236" s="83"/>
      <c r="R236" s="82"/>
      <c r="S236" s="82"/>
      <c r="T236" s="83"/>
      <c r="U236" s="82"/>
      <c r="V236" s="82"/>
      <c r="W236" s="83"/>
      <c r="X236" s="82"/>
      <c r="Y236" s="82"/>
    </row>
    <row r="237" spans="2:25">
      <c r="B237" s="95"/>
      <c r="C237" s="95"/>
      <c r="D237" s="96"/>
      <c r="E237" s="95"/>
      <c r="F237" s="95"/>
      <c r="G237" s="96"/>
      <c r="H237" s="95"/>
      <c r="I237" s="95"/>
      <c r="J237" s="96"/>
      <c r="K237" s="95"/>
      <c r="L237" s="95"/>
      <c r="M237" s="89"/>
      <c r="O237" s="82"/>
      <c r="P237" s="82"/>
      <c r="Q237" s="83"/>
      <c r="R237" s="82"/>
      <c r="S237" s="82"/>
      <c r="T237" s="83"/>
      <c r="U237" s="82"/>
      <c r="V237" s="82"/>
      <c r="W237" s="83"/>
      <c r="X237" s="82"/>
      <c r="Y237" s="82"/>
    </row>
    <row r="238" spans="2:25">
      <c r="B238" s="95"/>
      <c r="C238" s="95"/>
      <c r="D238" s="96"/>
      <c r="E238" s="95"/>
      <c r="F238" s="95"/>
      <c r="G238" s="96"/>
      <c r="H238" s="95"/>
      <c r="I238" s="95"/>
      <c r="J238" s="96"/>
      <c r="K238" s="95"/>
      <c r="L238" s="95"/>
      <c r="M238" s="89"/>
      <c r="O238" s="82"/>
      <c r="P238" s="82"/>
      <c r="Q238" s="83"/>
      <c r="R238" s="82"/>
      <c r="S238" s="82"/>
      <c r="T238" s="83"/>
      <c r="U238" s="82"/>
      <c r="V238" s="82"/>
      <c r="W238" s="83"/>
      <c r="X238" s="82"/>
      <c r="Y238" s="82"/>
    </row>
    <row r="239" spans="2:25">
      <c r="B239" s="95"/>
      <c r="C239" s="95"/>
      <c r="D239" s="96"/>
      <c r="E239" s="95"/>
      <c r="F239" s="95"/>
      <c r="G239" s="96"/>
      <c r="H239" s="95"/>
      <c r="I239" s="95"/>
      <c r="J239" s="96"/>
      <c r="K239" s="95"/>
      <c r="L239" s="95"/>
      <c r="M239" s="89"/>
      <c r="O239" s="82"/>
      <c r="P239" s="82"/>
      <c r="Q239" s="83"/>
      <c r="R239" s="82"/>
      <c r="S239" s="82"/>
      <c r="T239" s="83"/>
      <c r="U239" s="82"/>
      <c r="V239" s="82"/>
      <c r="W239" s="83"/>
      <c r="X239" s="82"/>
      <c r="Y239" s="82"/>
    </row>
    <row r="240" spans="2:25">
      <c r="B240" s="95"/>
      <c r="C240" s="95"/>
      <c r="D240" s="96"/>
      <c r="E240" s="95"/>
      <c r="F240" s="95"/>
      <c r="G240" s="96"/>
      <c r="H240" s="95"/>
      <c r="I240" s="95"/>
      <c r="J240" s="96"/>
      <c r="K240" s="95"/>
      <c r="L240" s="95"/>
      <c r="M240" s="89"/>
      <c r="O240" s="82"/>
      <c r="P240" s="82"/>
      <c r="Q240" s="83"/>
      <c r="R240" s="82"/>
      <c r="S240" s="82"/>
      <c r="T240" s="83"/>
      <c r="U240" s="82"/>
      <c r="V240" s="82"/>
      <c r="W240" s="83"/>
      <c r="X240" s="82"/>
      <c r="Y240" s="82"/>
    </row>
    <row r="241" spans="2:25">
      <c r="B241" s="95"/>
      <c r="C241" s="95"/>
      <c r="D241" s="96"/>
      <c r="E241" s="95"/>
      <c r="F241" s="95"/>
      <c r="G241" s="96"/>
      <c r="H241" s="95"/>
      <c r="I241" s="95"/>
      <c r="J241" s="96"/>
      <c r="K241" s="95"/>
      <c r="L241" s="95"/>
      <c r="M241" s="89"/>
      <c r="O241" s="82"/>
      <c r="P241" s="82"/>
      <c r="Q241" s="83"/>
      <c r="R241" s="82"/>
      <c r="S241" s="82"/>
      <c r="T241" s="83"/>
      <c r="U241" s="82"/>
      <c r="V241" s="82"/>
      <c r="W241" s="83"/>
      <c r="X241" s="82"/>
      <c r="Y241" s="82"/>
    </row>
    <row r="242" spans="2:25">
      <c r="B242" s="95"/>
      <c r="C242" s="95"/>
      <c r="D242" s="96"/>
      <c r="E242" s="95"/>
      <c r="F242" s="95"/>
      <c r="G242" s="96"/>
      <c r="H242" s="95"/>
      <c r="I242" s="95"/>
      <c r="J242" s="96"/>
      <c r="K242" s="95"/>
      <c r="L242" s="95"/>
      <c r="M242" s="89"/>
      <c r="O242" s="82"/>
      <c r="P242" s="82"/>
      <c r="Q242" s="83"/>
      <c r="R242" s="82"/>
      <c r="S242" s="82"/>
      <c r="T242" s="83"/>
      <c r="U242" s="82"/>
      <c r="V242" s="82"/>
      <c r="W242" s="83"/>
      <c r="X242" s="82"/>
      <c r="Y242" s="82"/>
    </row>
    <row r="243" spans="2:25">
      <c r="B243" s="95"/>
      <c r="C243" s="95"/>
      <c r="D243" s="96"/>
      <c r="E243" s="95"/>
      <c r="F243" s="95"/>
      <c r="G243" s="96"/>
      <c r="H243" s="95"/>
      <c r="I243" s="95"/>
      <c r="J243" s="96"/>
      <c r="K243" s="95"/>
      <c r="L243" s="95"/>
      <c r="M243" s="89"/>
      <c r="O243" s="82"/>
      <c r="P243" s="82"/>
      <c r="Q243" s="83"/>
      <c r="R243" s="82"/>
      <c r="S243" s="82"/>
      <c r="T243" s="83"/>
      <c r="U243" s="82"/>
      <c r="V243" s="82"/>
      <c r="W243" s="83"/>
      <c r="X243" s="82"/>
      <c r="Y243" s="82"/>
    </row>
    <row r="244" spans="2:25">
      <c r="B244" s="95"/>
      <c r="C244" s="95"/>
      <c r="D244" s="96"/>
      <c r="E244" s="95"/>
      <c r="F244" s="95"/>
      <c r="G244" s="96"/>
      <c r="H244" s="95"/>
      <c r="I244" s="95"/>
      <c r="J244" s="96"/>
      <c r="K244" s="95"/>
      <c r="L244" s="95"/>
      <c r="M244" s="89"/>
      <c r="O244" s="82"/>
      <c r="P244" s="82"/>
      <c r="Q244" s="83"/>
      <c r="R244" s="82"/>
      <c r="S244" s="82"/>
      <c r="T244" s="83"/>
      <c r="U244" s="82"/>
      <c r="V244" s="82"/>
      <c r="W244" s="83"/>
      <c r="X244" s="82"/>
      <c r="Y244" s="82"/>
    </row>
    <row r="245" spans="2:25">
      <c r="B245" s="95"/>
      <c r="C245" s="95"/>
      <c r="D245" s="96"/>
      <c r="E245" s="95"/>
      <c r="F245" s="95"/>
      <c r="G245" s="96"/>
      <c r="H245" s="95"/>
      <c r="I245" s="95"/>
      <c r="J245" s="96"/>
      <c r="K245" s="95"/>
      <c r="L245" s="95"/>
      <c r="M245" s="89"/>
      <c r="O245" s="82"/>
      <c r="P245" s="82"/>
      <c r="Q245" s="83"/>
      <c r="R245" s="82"/>
      <c r="S245" s="82"/>
      <c r="T245" s="83"/>
      <c r="U245" s="82"/>
      <c r="V245" s="82"/>
      <c r="W245" s="83"/>
      <c r="X245" s="82"/>
      <c r="Y245" s="82"/>
    </row>
    <row r="246" spans="2:25">
      <c r="B246" s="95"/>
      <c r="C246" s="95"/>
      <c r="D246" s="96"/>
      <c r="E246" s="95"/>
      <c r="F246" s="95"/>
      <c r="G246" s="96"/>
      <c r="H246" s="95"/>
      <c r="I246" s="95"/>
      <c r="J246" s="96"/>
      <c r="K246" s="95"/>
      <c r="L246" s="95"/>
      <c r="M246" s="89"/>
      <c r="O246" s="82"/>
      <c r="P246" s="82"/>
      <c r="Q246" s="83"/>
      <c r="R246" s="82"/>
      <c r="S246" s="82"/>
      <c r="T246" s="83"/>
      <c r="U246" s="82"/>
      <c r="V246" s="82"/>
      <c r="W246" s="83"/>
      <c r="X246" s="82"/>
      <c r="Y246" s="82"/>
    </row>
    <row r="247" spans="2:25">
      <c r="B247" s="95"/>
      <c r="C247" s="95"/>
      <c r="D247" s="96"/>
      <c r="E247" s="95"/>
      <c r="F247" s="95"/>
      <c r="G247" s="96"/>
      <c r="H247" s="95"/>
      <c r="I247" s="95"/>
      <c r="J247" s="96"/>
      <c r="K247" s="95"/>
      <c r="L247" s="95"/>
      <c r="M247" s="89"/>
      <c r="O247" s="82"/>
      <c r="P247" s="82"/>
      <c r="Q247" s="83"/>
      <c r="R247" s="82"/>
      <c r="S247" s="82"/>
      <c r="T247" s="83"/>
      <c r="U247" s="82"/>
      <c r="V247" s="82"/>
      <c r="W247" s="83"/>
      <c r="X247" s="82"/>
      <c r="Y247" s="82"/>
    </row>
    <row r="248" spans="2:25">
      <c r="B248" s="95"/>
      <c r="C248" s="95"/>
      <c r="D248" s="96"/>
      <c r="E248" s="95"/>
      <c r="F248" s="95"/>
      <c r="G248" s="96"/>
      <c r="H248" s="95"/>
      <c r="I248" s="95"/>
      <c r="J248" s="96"/>
      <c r="K248" s="95"/>
      <c r="L248" s="95"/>
      <c r="M248" s="89"/>
      <c r="O248" s="82"/>
      <c r="P248" s="82"/>
      <c r="Q248" s="83"/>
      <c r="R248" s="82"/>
      <c r="S248" s="82"/>
      <c r="T248" s="83"/>
      <c r="U248" s="82"/>
      <c r="V248" s="82"/>
      <c r="W248" s="83"/>
      <c r="X248" s="82"/>
      <c r="Y248" s="82"/>
    </row>
    <row r="249" spans="2:25">
      <c r="B249" s="95"/>
      <c r="C249" s="95"/>
      <c r="D249" s="96"/>
      <c r="E249" s="95"/>
      <c r="F249" s="95"/>
      <c r="G249" s="96"/>
      <c r="H249" s="95"/>
      <c r="I249" s="95"/>
      <c r="J249" s="96"/>
      <c r="K249" s="95"/>
      <c r="L249" s="95"/>
      <c r="M249" s="89"/>
      <c r="O249" s="82"/>
      <c r="P249" s="82"/>
      <c r="Q249" s="83"/>
      <c r="R249" s="82"/>
      <c r="S249" s="82"/>
      <c r="T249" s="83"/>
      <c r="U249" s="82"/>
      <c r="V249" s="82"/>
      <c r="W249" s="83"/>
      <c r="X249" s="82"/>
      <c r="Y249" s="82"/>
    </row>
    <row r="250" spans="2:25">
      <c r="B250" s="95"/>
      <c r="C250" s="95"/>
      <c r="D250" s="96"/>
      <c r="E250" s="95"/>
      <c r="F250" s="95"/>
      <c r="G250" s="96"/>
      <c r="H250" s="95"/>
      <c r="I250" s="95"/>
      <c r="J250" s="96"/>
      <c r="K250" s="95"/>
      <c r="L250" s="95"/>
      <c r="M250" s="89"/>
      <c r="O250" s="82"/>
      <c r="P250" s="82"/>
      <c r="Q250" s="83"/>
      <c r="R250" s="82"/>
      <c r="S250" s="82"/>
      <c r="T250" s="83"/>
      <c r="U250" s="82"/>
      <c r="V250" s="82"/>
      <c r="W250" s="83"/>
      <c r="X250" s="82"/>
      <c r="Y250" s="82"/>
    </row>
    <row r="251" spans="2:25">
      <c r="B251" s="95"/>
      <c r="C251" s="95"/>
      <c r="D251" s="96"/>
      <c r="E251" s="95"/>
      <c r="F251" s="95"/>
      <c r="G251" s="96"/>
      <c r="H251" s="95"/>
      <c r="I251" s="95"/>
      <c r="J251" s="96"/>
      <c r="K251" s="95"/>
      <c r="L251" s="95"/>
      <c r="M251" s="89"/>
      <c r="O251" s="82"/>
      <c r="P251" s="82"/>
      <c r="Q251" s="83"/>
      <c r="R251" s="82"/>
      <c r="S251" s="82"/>
      <c r="T251" s="83"/>
      <c r="U251" s="82"/>
      <c r="V251" s="82"/>
      <c r="W251" s="83"/>
      <c r="X251" s="82"/>
      <c r="Y251" s="82"/>
    </row>
    <row r="252" spans="2:25">
      <c r="B252" s="95"/>
      <c r="C252" s="95"/>
      <c r="D252" s="96"/>
      <c r="E252" s="95"/>
      <c r="F252" s="95"/>
      <c r="G252" s="96"/>
      <c r="H252" s="95"/>
      <c r="I252" s="95"/>
      <c r="J252" s="96"/>
      <c r="K252" s="95"/>
      <c r="L252" s="95"/>
      <c r="M252" s="89"/>
      <c r="O252" s="82"/>
      <c r="P252" s="82"/>
      <c r="Q252" s="83"/>
      <c r="R252" s="82"/>
      <c r="S252" s="82"/>
      <c r="T252" s="83"/>
      <c r="U252" s="82"/>
      <c r="V252" s="82"/>
      <c r="W252" s="83"/>
      <c r="X252" s="82"/>
      <c r="Y252" s="82"/>
    </row>
    <row r="253" spans="2:25">
      <c r="B253" s="95"/>
      <c r="C253" s="95"/>
      <c r="D253" s="96"/>
      <c r="E253" s="95"/>
      <c r="F253" s="95"/>
      <c r="G253" s="96"/>
      <c r="H253" s="95"/>
      <c r="I253" s="95"/>
      <c r="J253" s="96"/>
      <c r="K253" s="95"/>
      <c r="L253" s="95"/>
      <c r="M253" s="89"/>
      <c r="O253" s="82"/>
      <c r="P253" s="82"/>
      <c r="Q253" s="83"/>
      <c r="R253" s="82"/>
      <c r="S253" s="82"/>
      <c r="T253" s="83"/>
      <c r="U253" s="82"/>
      <c r="V253" s="82"/>
      <c r="W253" s="83"/>
      <c r="X253" s="82"/>
      <c r="Y253" s="82"/>
    </row>
    <row r="254" spans="2:25">
      <c r="B254" s="95"/>
      <c r="C254" s="95"/>
      <c r="D254" s="96"/>
      <c r="E254" s="95"/>
      <c r="F254" s="95"/>
      <c r="G254" s="96"/>
      <c r="H254" s="95"/>
      <c r="I254" s="95"/>
      <c r="J254" s="96"/>
      <c r="K254" s="95"/>
      <c r="L254" s="95"/>
      <c r="M254" s="89"/>
      <c r="O254" s="82"/>
      <c r="P254" s="82"/>
      <c r="Q254" s="83"/>
      <c r="R254" s="82"/>
      <c r="S254" s="82"/>
      <c r="T254" s="83"/>
      <c r="U254" s="82"/>
      <c r="V254" s="82"/>
      <c r="W254" s="83"/>
      <c r="X254" s="82"/>
      <c r="Y254" s="82"/>
    </row>
    <row r="255" spans="2:25">
      <c r="B255" s="95"/>
      <c r="C255" s="95"/>
      <c r="D255" s="96"/>
      <c r="E255" s="95"/>
      <c r="F255" s="95"/>
      <c r="G255" s="96"/>
      <c r="H255" s="95"/>
      <c r="I255" s="95"/>
      <c r="J255" s="96"/>
      <c r="K255" s="95"/>
      <c r="L255" s="95"/>
      <c r="M255" s="89"/>
      <c r="O255" s="82"/>
      <c r="P255" s="82"/>
      <c r="Q255" s="83"/>
      <c r="R255" s="82"/>
      <c r="S255" s="82"/>
      <c r="T255" s="83"/>
      <c r="U255" s="82"/>
      <c r="V255" s="82"/>
      <c r="W255" s="83"/>
      <c r="X255" s="82"/>
      <c r="Y255" s="82"/>
    </row>
    <row r="256" spans="2:25">
      <c r="B256" s="95"/>
      <c r="C256" s="95"/>
      <c r="D256" s="96"/>
      <c r="E256" s="95"/>
      <c r="F256" s="95"/>
      <c r="G256" s="96"/>
      <c r="H256" s="95"/>
      <c r="I256" s="95"/>
      <c r="J256" s="96"/>
      <c r="K256" s="95"/>
      <c r="L256" s="95"/>
      <c r="M256" s="89"/>
      <c r="O256" s="82"/>
      <c r="P256" s="82"/>
      <c r="Q256" s="83"/>
      <c r="R256" s="82"/>
      <c r="S256" s="82"/>
      <c r="T256" s="83"/>
      <c r="U256" s="82"/>
      <c r="V256" s="82"/>
      <c r="W256" s="83"/>
      <c r="X256" s="82"/>
      <c r="Y256" s="82"/>
    </row>
    <row r="257" spans="2:25">
      <c r="B257" s="95"/>
      <c r="C257" s="95"/>
      <c r="D257" s="96"/>
      <c r="E257" s="95"/>
      <c r="F257" s="95"/>
      <c r="G257" s="96"/>
      <c r="H257" s="95"/>
      <c r="I257" s="95"/>
      <c r="J257" s="96"/>
      <c r="K257" s="95"/>
      <c r="L257" s="95"/>
      <c r="M257" s="89"/>
      <c r="O257" s="82"/>
      <c r="P257" s="82"/>
      <c r="Q257" s="83"/>
      <c r="R257" s="82"/>
      <c r="S257" s="82"/>
      <c r="T257" s="83"/>
      <c r="U257" s="82"/>
      <c r="V257" s="82"/>
      <c r="W257" s="83"/>
      <c r="X257" s="82"/>
      <c r="Y257" s="82"/>
    </row>
    <row r="258" spans="2:25">
      <c r="B258" s="95"/>
      <c r="C258" s="95"/>
      <c r="D258" s="96"/>
      <c r="E258" s="95"/>
      <c r="F258" s="95"/>
      <c r="G258" s="96"/>
      <c r="H258" s="95"/>
      <c r="I258" s="95"/>
      <c r="J258" s="96"/>
      <c r="K258" s="95"/>
      <c r="L258" s="95"/>
      <c r="M258" s="89"/>
      <c r="O258" s="82"/>
      <c r="P258" s="82"/>
      <c r="Q258" s="83"/>
      <c r="R258" s="82"/>
      <c r="S258" s="82"/>
      <c r="T258" s="83"/>
      <c r="U258" s="82"/>
      <c r="V258" s="82"/>
      <c r="W258" s="83"/>
      <c r="X258" s="82"/>
      <c r="Y258" s="82"/>
    </row>
    <row r="259" spans="2:25">
      <c r="B259" s="95"/>
      <c r="C259" s="95"/>
      <c r="D259" s="96"/>
      <c r="E259" s="95"/>
      <c r="F259" s="95"/>
      <c r="G259" s="96"/>
      <c r="H259" s="95"/>
      <c r="I259" s="95"/>
      <c r="J259" s="96"/>
      <c r="K259" s="95"/>
      <c r="L259" s="95"/>
      <c r="M259" s="89"/>
      <c r="O259" s="82"/>
      <c r="P259" s="82"/>
      <c r="Q259" s="83"/>
      <c r="R259" s="82"/>
      <c r="S259" s="82"/>
      <c r="T259" s="83"/>
      <c r="U259" s="82"/>
      <c r="V259" s="82"/>
      <c r="W259" s="83"/>
      <c r="X259" s="82"/>
      <c r="Y259" s="82"/>
    </row>
    <row r="260" spans="2:25">
      <c r="B260" s="95"/>
      <c r="C260" s="95"/>
      <c r="D260" s="96"/>
      <c r="E260" s="95"/>
      <c r="F260" s="95"/>
      <c r="G260" s="96"/>
      <c r="H260" s="95"/>
      <c r="I260" s="95"/>
      <c r="J260" s="96"/>
      <c r="K260" s="95"/>
      <c r="L260" s="95"/>
      <c r="M260" s="89"/>
      <c r="O260" s="82"/>
      <c r="P260" s="82"/>
      <c r="Q260" s="83"/>
      <c r="R260" s="82"/>
      <c r="S260" s="82"/>
      <c r="T260" s="83"/>
      <c r="U260" s="82"/>
      <c r="V260" s="82"/>
      <c r="W260" s="83"/>
      <c r="X260" s="82"/>
      <c r="Y260" s="82"/>
    </row>
    <row r="261" spans="2:25">
      <c r="B261" s="95"/>
      <c r="C261" s="95"/>
      <c r="D261" s="96"/>
      <c r="E261" s="95"/>
      <c r="F261" s="95"/>
      <c r="G261" s="96"/>
      <c r="H261" s="95"/>
      <c r="I261" s="95"/>
      <c r="J261" s="96"/>
      <c r="K261" s="95"/>
      <c r="L261" s="95"/>
      <c r="M261" s="89"/>
      <c r="O261" s="82"/>
      <c r="P261" s="82"/>
      <c r="Q261" s="83"/>
      <c r="R261" s="82"/>
      <c r="S261" s="82"/>
      <c r="T261" s="83"/>
      <c r="U261" s="82"/>
      <c r="V261" s="82"/>
      <c r="W261" s="83"/>
      <c r="X261" s="82"/>
      <c r="Y261" s="82"/>
    </row>
    <row r="262" spans="2:25">
      <c r="B262" s="95"/>
      <c r="C262" s="95"/>
      <c r="D262" s="96"/>
      <c r="E262" s="95"/>
      <c r="F262" s="95"/>
      <c r="G262" s="96"/>
      <c r="H262" s="95"/>
      <c r="I262" s="95"/>
      <c r="J262" s="96"/>
      <c r="K262" s="95"/>
      <c r="L262" s="95"/>
      <c r="M262" s="89"/>
      <c r="O262" s="82"/>
      <c r="P262" s="82"/>
      <c r="Q262" s="83"/>
      <c r="R262" s="82"/>
      <c r="S262" s="82"/>
      <c r="T262" s="83"/>
      <c r="U262" s="82"/>
      <c r="V262" s="82"/>
      <c r="W262" s="83"/>
      <c r="X262" s="82"/>
      <c r="Y262" s="82"/>
    </row>
    <row r="263" spans="2:25">
      <c r="B263" s="95"/>
      <c r="C263" s="95"/>
      <c r="D263" s="96"/>
      <c r="E263" s="95"/>
      <c r="F263" s="95"/>
      <c r="G263" s="96"/>
      <c r="H263" s="95"/>
      <c r="I263" s="95"/>
      <c r="J263" s="96"/>
      <c r="K263" s="95"/>
      <c r="L263" s="95"/>
      <c r="M263" s="89"/>
      <c r="O263" s="82"/>
      <c r="P263" s="82"/>
      <c r="Q263" s="83"/>
      <c r="R263" s="82"/>
      <c r="S263" s="82"/>
      <c r="T263" s="83"/>
      <c r="U263" s="82"/>
      <c r="V263" s="82"/>
      <c r="W263" s="83"/>
      <c r="X263" s="82"/>
      <c r="Y263" s="82"/>
    </row>
    <row r="264" spans="2:25">
      <c r="B264" s="95"/>
      <c r="C264" s="95"/>
      <c r="D264" s="96"/>
      <c r="E264" s="95"/>
      <c r="F264" s="95"/>
      <c r="G264" s="96"/>
      <c r="H264" s="95"/>
      <c r="I264" s="95"/>
      <c r="J264" s="96"/>
      <c r="K264" s="95"/>
      <c r="L264" s="95"/>
      <c r="M264" s="89"/>
      <c r="O264" s="82"/>
      <c r="P264" s="82"/>
      <c r="Q264" s="83"/>
      <c r="R264" s="82"/>
      <c r="S264" s="82"/>
      <c r="T264" s="83"/>
      <c r="U264" s="82"/>
      <c r="V264" s="82"/>
      <c r="W264" s="83"/>
      <c r="X264" s="82"/>
      <c r="Y264" s="82"/>
    </row>
    <row r="265" spans="2:25">
      <c r="B265" s="95"/>
      <c r="C265" s="95"/>
      <c r="D265" s="96"/>
      <c r="E265" s="95"/>
      <c r="F265" s="95"/>
      <c r="G265" s="96"/>
      <c r="H265" s="95"/>
      <c r="I265" s="95"/>
      <c r="J265" s="96"/>
      <c r="K265" s="95"/>
      <c r="L265" s="95"/>
      <c r="M265" s="89"/>
      <c r="O265" s="82"/>
      <c r="P265" s="82"/>
      <c r="Q265" s="83"/>
      <c r="R265" s="82"/>
      <c r="S265" s="82"/>
      <c r="T265" s="83"/>
      <c r="U265" s="82"/>
      <c r="V265" s="82"/>
      <c r="W265" s="83"/>
      <c r="X265" s="82"/>
      <c r="Y265" s="82"/>
    </row>
    <row r="266" spans="2:25">
      <c r="B266" s="95"/>
      <c r="C266" s="95"/>
      <c r="D266" s="96"/>
      <c r="E266" s="95"/>
      <c r="F266" s="95"/>
      <c r="G266" s="96"/>
      <c r="H266" s="95"/>
      <c r="I266" s="95"/>
      <c r="J266" s="96"/>
      <c r="K266" s="95"/>
      <c r="L266" s="95"/>
      <c r="M266" s="89"/>
      <c r="O266" s="82"/>
      <c r="P266" s="82"/>
      <c r="Q266" s="83"/>
      <c r="R266" s="82"/>
      <c r="S266" s="82"/>
      <c r="T266" s="83"/>
      <c r="U266" s="82"/>
      <c r="V266" s="82"/>
      <c r="W266" s="83"/>
      <c r="X266" s="82"/>
      <c r="Y266" s="82"/>
    </row>
    <row r="267" spans="2:25">
      <c r="B267" s="95"/>
      <c r="C267" s="95"/>
      <c r="D267" s="96"/>
      <c r="E267" s="95"/>
      <c r="F267" s="95"/>
      <c r="G267" s="96"/>
      <c r="H267" s="95"/>
      <c r="I267" s="95"/>
      <c r="J267" s="96"/>
      <c r="K267" s="95"/>
      <c r="L267" s="95"/>
      <c r="M267" s="89"/>
      <c r="O267" s="82"/>
      <c r="P267" s="82"/>
      <c r="Q267" s="83"/>
      <c r="R267" s="82"/>
      <c r="S267" s="82"/>
      <c r="T267" s="83"/>
      <c r="U267" s="82"/>
      <c r="V267" s="82"/>
      <c r="W267" s="83"/>
      <c r="X267" s="82"/>
      <c r="Y267" s="82"/>
    </row>
    <row r="268" spans="2:25">
      <c r="B268" s="95"/>
      <c r="C268" s="95"/>
      <c r="D268" s="96"/>
      <c r="E268" s="95"/>
      <c r="F268" s="95"/>
      <c r="G268" s="96"/>
      <c r="H268" s="95"/>
      <c r="I268" s="95"/>
      <c r="J268" s="96"/>
      <c r="K268" s="95"/>
      <c r="L268" s="95"/>
      <c r="M268" s="89"/>
      <c r="O268" s="82"/>
      <c r="P268" s="82"/>
      <c r="Q268" s="83"/>
      <c r="R268" s="82"/>
      <c r="S268" s="82"/>
      <c r="T268" s="83"/>
      <c r="U268" s="82"/>
      <c r="V268" s="82"/>
      <c r="W268" s="83"/>
      <c r="X268" s="82"/>
      <c r="Y268" s="82"/>
    </row>
    <row r="269" spans="2:25">
      <c r="B269" s="95"/>
      <c r="C269" s="95"/>
      <c r="D269" s="96"/>
      <c r="E269" s="95"/>
      <c r="F269" s="95"/>
      <c r="G269" s="96"/>
      <c r="H269" s="95"/>
      <c r="I269" s="95"/>
      <c r="J269" s="96"/>
      <c r="K269" s="95"/>
      <c r="L269" s="95"/>
      <c r="M269" s="89"/>
      <c r="O269" s="82"/>
      <c r="P269" s="82"/>
      <c r="Q269" s="83"/>
      <c r="R269" s="82"/>
      <c r="S269" s="82"/>
      <c r="T269" s="83"/>
      <c r="U269" s="82"/>
      <c r="V269" s="82"/>
      <c r="W269" s="83"/>
      <c r="X269" s="82"/>
      <c r="Y269" s="82"/>
    </row>
    <row r="270" spans="2:25">
      <c r="B270" s="95"/>
      <c r="C270" s="95"/>
      <c r="D270" s="96"/>
      <c r="E270" s="95"/>
      <c r="F270" s="95"/>
      <c r="G270" s="96"/>
      <c r="H270" s="95"/>
      <c r="I270" s="95"/>
      <c r="J270" s="96"/>
      <c r="K270" s="95"/>
      <c r="L270" s="95"/>
      <c r="M270" s="89"/>
      <c r="O270" s="82"/>
      <c r="P270" s="82"/>
      <c r="Q270" s="83"/>
      <c r="R270" s="82"/>
      <c r="S270" s="82"/>
      <c r="T270" s="83"/>
      <c r="U270" s="82"/>
      <c r="V270" s="82"/>
      <c r="W270" s="83"/>
      <c r="X270" s="82"/>
      <c r="Y270" s="82"/>
    </row>
    <row r="271" spans="2:25">
      <c r="B271" s="95"/>
      <c r="C271" s="95"/>
      <c r="D271" s="96"/>
      <c r="E271" s="95"/>
      <c r="F271" s="95"/>
      <c r="G271" s="96"/>
      <c r="H271" s="95"/>
      <c r="I271" s="95"/>
      <c r="J271" s="96"/>
      <c r="K271" s="95"/>
      <c r="L271" s="95"/>
      <c r="M271" s="89"/>
      <c r="O271" s="82"/>
      <c r="P271" s="82"/>
      <c r="Q271" s="83"/>
      <c r="R271" s="82"/>
      <c r="S271" s="82"/>
      <c r="T271" s="83"/>
      <c r="U271" s="82"/>
      <c r="V271" s="82"/>
      <c r="W271" s="83"/>
      <c r="X271" s="82"/>
      <c r="Y271" s="82"/>
    </row>
    <row r="272" spans="2:25">
      <c r="B272" s="95"/>
      <c r="C272" s="95"/>
      <c r="D272" s="96"/>
      <c r="E272" s="95"/>
      <c r="F272" s="95"/>
      <c r="G272" s="96"/>
      <c r="H272" s="95"/>
      <c r="I272" s="95"/>
      <c r="J272" s="96"/>
      <c r="K272" s="95"/>
      <c r="L272" s="95"/>
      <c r="M272" s="89"/>
      <c r="O272" s="82"/>
      <c r="P272" s="82"/>
      <c r="Q272" s="83"/>
      <c r="R272" s="82"/>
      <c r="S272" s="82"/>
      <c r="T272" s="83"/>
      <c r="U272" s="82"/>
      <c r="V272" s="82"/>
      <c r="W272" s="83"/>
      <c r="X272" s="82"/>
      <c r="Y272" s="82"/>
    </row>
    <row r="273" spans="2:25">
      <c r="B273" s="95"/>
      <c r="C273" s="95"/>
      <c r="D273" s="96"/>
      <c r="E273" s="95"/>
      <c r="F273" s="95"/>
      <c r="G273" s="96"/>
      <c r="H273" s="95"/>
      <c r="I273" s="95"/>
      <c r="J273" s="96"/>
      <c r="K273" s="95"/>
      <c r="L273" s="95"/>
      <c r="M273" s="89"/>
      <c r="O273" s="82"/>
      <c r="P273" s="82"/>
      <c r="Q273" s="83"/>
      <c r="R273" s="82"/>
      <c r="S273" s="82"/>
      <c r="T273" s="83"/>
      <c r="U273" s="82"/>
      <c r="V273" s="82"/>
      <c r="W273" s="83"/>
      <c r="X273" s="82"/>
      <c r="Y273" s="82"/>
    </row>
    <row r="274" spans="2:25">
      <c r="B274" s="95"/>
      <c r="C274" s="95"/>
      <c r="D274" s="96"/>
      <c r="E274" s="95"/>
      <c r="F274" s="95"/>
      <c r="G274" s="96"/>
      <c r="H274" s="95"/>
      <c r="I274" s="95"/>
      <c r="J274" s="96"/>
      <c r="K274" s="95"/>
      <c r="L274" s="95"/>
      <c r="M274" s="89"/>
      <c r="O274" s="82"/>
      <c r="P274" s="82"/>
      <c r="Q274" s="83"/>
      <c r="R274" s="82"/>
      <c r="S274" s="82"/>
      <c r="T274" s="83"/>
      <c r="U274" s="82"/>
      <c r="V274" s="82"/>
      <c r="W274" s="83"/>
      <c r="X274" s="82"/>
      <c r="Y274" s="82"/>
    </row>
    <row r="275" spans="2:25">
      <c r="B275" s="95"/>
      <c r="C275" s="95"/>
      <c r="D275" s="96"/>
      <c r="E275" s="95"/>
      <c r="F275" s="95"/>
      <c r="G275" s="96"/>
      <c r="H275" s="95"/>
      <c r="I275" s="95"/>
      <c r="J275" s="96"/>
      <c r="K275" s="95"/>
      <c r="L275" s="95"/>
      <c r="M275" s="89"/>
      <c r="O275" s="82"/>
      <c r="P275" s="82"/>
      <c r="Q275" s="83"/>
      <c r="R275" s="82"/>
      <c r="S275" s="82"/>
      <c r="T275" s="83"/>
      <c r="U275" s="82"/>
      <c r="V275" s="82"/>
      <c r="W275" s="83"/>
      <c r="X275" s="82"/>
      <c r="Y275" s="82"/>
    </row>
    <row r="276" spans="2:25">
      <c r="B276" s="95"/>
      <c r="C276" s="95"/>
      <c r="D276" s="96"/>
      <c r="E276" s="95"/>
      <c r="F276" s="95"/>
      <c r="G276" s="96"/>
      <c r="H276" s="95"/>
      <c r="I276" s="95"/>
      <c r="J276" s="96"/>
      <c r="K276" s="95"/>
      <c r="L276" s="95"/>
      <c r="M276" s="89"/>
      <c r="O276" s="82"/>
      <c r="P276" s="82"/>
      <c r="Q276" s="83"/>
      <c r="R276" s="82"/>
      <c r="S276" s="82"/>
      <c r="T276" s="83"/>
      <c r="U276" s="82"/>
      <c r="V276" s="82"/>
      <c r="W276" s="83"/>
      <c r="X276" s="82"/>
      <c r="Y276" s="82"/>
    </row>
    <row r="277" spans="2:25">
      <c r="B277" s="95"/>
      <c r="C277" s="95"/>
      <c r="D277" s="96"/>
      <c r="E277" s="95"/>
      <c r="F277" s="95"/>
      <c r="G277" s="96"/>
      <c r="H277" s="95"/>
      <c r="I277" s="95"/>
      <c r="J277" s="96"/>
      <c r="K277" s="95"/>
      <c r="L277" s="95"/>
      <c r="M277" s="89"/>
      <c r="O277" s="82"/>
      <c r="P277" s="82"/>
      <c r="Q277" s="83"/>
      <c r="R277" s="82"/>
      <c r="S277" s="82"/>
      <c r="T277" s="83"/>
      <c r="U277" s="82"/>
      <c r="V277" s="82"/>
      <c r="W277" s="83"/>
      <c r="X277" s="82"/>
      <c r="Y277" s="82"/>
    </row>
    <row r="278" spans="2:25">
      <c r="B278" s="95"/>
      <c r="C278" s="95"/>
      <c r="D278" s="96"/>
      <c r="E278" s="95"/>
      <c r="F278" s="95"/>
      <c r="G278" s="96"/>
      <c r="H278" s="95"/>
      <c r="I278" s="95"/>
      <c r="J278" s="96"/>
      <c r="K278" s="95"/>
      <c r="L278" s="95"/>
      <c r="M278" s="89"/>
      <c r="O278" s="82"/>
      <c r="P278" s="82"/>
      <c r="Q278" s="83"/>
      <c r="R278" s="82"/>
      <c r="S278" s="82"/>
      <c r="T278" s="83"/>
      <c r="U278" s="82"/>
      <c r="V278" s="82"/>
      <c r="W278" s="83"/>
      <c r="X278" s="82"/>
      <c r="Y278" s="82"/>
    </row>
    <row r="279" spans="2:25">
      <c r="B279" s="95"/>
      <c r="C279" s="95"/>
      <c r="D279" s="96"/>
      <c r="E279" s="95"/>
      <c r="F279" s="95"/>
      <c r="G279" s="96"/>
      <c r="H279" s="95"/>
      <c r="I279" s="95"/>
      <c r="J279" s="96"/>
      <c r="K279" s="95"/>
      <c r="L279" s="95"/>
      <c r="M279" s="89"/>
      <c r="O279" s="82"/>
      <c r="P279" s="82"/>
      <c r="Q279" s="83"/>
      <c r="R279" s="82"/>
      <c r="S279" s="82"/>
      <c r="T279" s="83"/>
      <c r="U279" s="82"/>
      <c r="V279" s="82"/>
      <c r="W279" s="83"/>
      <c r="X279" s="82"/>
      <c r="Y279" s="82"/>
    </row>
    <row r="280" spans="2:25">
      <c r="B280" s="95"/>
      <c r="C280" s="95"/>
      <c r="D280" s="96"/>
      <c r="E280" s="95"/>
      <c r="F280" s="95"/>
      <c r="G280" s="96"/>
      <c r="H280" s="95"/>
      <c r="I280" s="95"/>
      <c r="J280" s="96"/>
      <c r="K280" s="95"/>
      <c r="L280" s="95"/>
      <c r="M280" s="89"/>
      <c r="O280" s="82"/>
      <c r="P280" s="82"/>
      <c r="Q280" s="83"/>
      <c r="R280" s="82"/>
      <c r="S280" s="82"/>
      <c r="T280" s="83"/>
      <c r="U280" s="82"/>
      <c r="V280" s="82"/>
      <c r="W280" s="83"/>
      <c r="X280" s="82"/>
      <c r="Y280" s="82"/>
    </row>
    <row r="281" spans="2:25">
      <c r="B281" s="95"/>
      <c r="C281" s="95"/>
      <c r="D281" s="96"/>
      <c r="E281" s="95"/>
      <c r="F281" s="95"/>
      <c r="G281" s="96"/>
      <c r="H281" s="95"/>
      <c r="I281" s="95"/>
      <c r="J281" s="96"/>
      <c r="K281" s="95"/>
      <c r="L281" s="95"/>
      <c r="M281" s="89"/>
      <c r="O281" s="82"/>
      <c r="P281" s="82"/>
      <c r="Q281" s="83"/>
      <c r="R281" s="82"/>
      <c r="S281" s="82"/>
      <c r="T281" s="83"/>
      <c r="U281" s="82"/>
      <c r="V281" s="82"/>
      <c r="W281" s="83"/>
      <c r="X281" s="82"/>
      <c r="Y281" s="82"/>
    </row>
    <row r="282" spans="2:25">
      <c r="B282" s="95"/>
      <c r="C282" s="95"/>
      <c r="D282" s="96"/>
      <c r="E282" s="95"/>
      <c r="F282" s="95"/>
      <c r="G282" s="96"/>
      <c r="H282" s="95"/>
      <c r="I282" s="95"/>
      <c r="J282" s="96"/>
      <c r="K282" s="95"/>
      <c r="L282" s="95"/>
      <c r="M282" s="89"/>
      <c r="O282" s="82"/>
      <c r="P282" s="82"/>
      <c r="Q282" s="83"/>
      <c r="R282" s="82"/>
      <c r="S282" s="82"/>
      <c r="T282" s="83"/>
      <c r="U282" s="82"/>
      <c r="V282" s="82"/>
      <c r="W282" s="83"/>
      <c r="X282" s="82"/>
      <c r="Y282" s="82"/>
    </row>
    <row r="283" spans="2:25">
      <c r="B283" s="95"/>
      <c r="C283" s="95"/>
      <c r="D283" s="96"/>
      <c r="E283" s="95"/>
      <c r="F283" s="95"/>
      <c r="G283" s="96"/>
      <c r="H283" s="95"/>
      <c r="I283" s="95"/>
      <c r="J283" s="96"/>
      <c r="K283" s="95"/>
      <c r="L283" s="95"/>
      <c r="M283" s="89"/>
      <c r="O283" s="82"/>
      <c r="P283" s="82"/>
      <c r="Q283" s="83"/>
      <c r="R283" s="82"/>
      <c r="S283" s="82"/>
      <c r="T283" s="83"/>
      <c r="U283" s="82"/>
      <c r="V283" s="82"/>
      <c r="W283" s="83"/>
      <c r="X283" s="82"/>
      <c r="Y283" s="82"/>
    </row>
    <row r="284" spans="2:25">
      <c r="B284" s="95"/>
      <c r="C284" s="95"/>
      <c r="D284" s="96"/>
      <c r="E284" s="95"/>
      <c r="F284" s="95"/>
      <c r="G284" s="96"/>
      <c r="H284" s="95"/>
      <c r="I284" s="95"/>
      <c r="J284" s="96"/>
      <c r="K284" s="95"/>
      <c r="L284" s="95"/>
      <c r="M284" s="89"/>
      <c r="O284" s="82"/>
      <c r="P284" s="82"/>
      <c r="Q284" s="83"/>
      <c r="R284" s="82"/>
      <c r="S284" s="82"/>
      <c r="T284" s="83"/>
      <c r="U284" s="82"/>
      <c r="V284" s="82"/>
      <c r="W284" s="83"/>
      <c r="X284" s="82"/>
      <c r="Y284" s="82"/>
    </row>
    <row r="285" spans="2:25">
      <c r="B285" s="95"/>
      <c r="C285" s="95"/>
      <c r="D285" s="96"/>
      <c r="E285" s="95"/>
      <c r="F285" s="95"/>
      <c r="G285" s="96"/>
      <c r="H285" s="95"/>
      <c r="I285" s="95"/>
      <c r="J285" s="96"/>
      <c r="K285" s="95"/>
      <c r="L285" s="95"/>
      <c r="M285" s="89"/>
      <c r="O285" s="82"/>
      <c r="P285" s="82"/>
      <c r="Q285" s="83"/>
      <c r="R285" s="82"/>
      <c r="S285" s="82"/>
      <c r="T285" s="83"/>
      <c r="U285" s="82"/>
      <c r="V285" s="82"/>
      <c r="W285" s="83"/>
      <c r="X285" s="82"/>
      <c r="Y285" s="82"/>
    </row>
    <row r="286" spans="2:25">
      <c r="B286" s="95"/>
      <c r="C286" s="95"/>
      <c r="D286" s="96"/>
      <c r="E286" s="95"/>
      <c r="F286" s="95"/>
      <c r="G286" s="96"/>
      <c r="H286" s="95"/>
      <c r="I286" s="95"/>
      <c r="J286" s="96"/>
      <c r="K286" s="95"/>
      <c r="L286" s="95"/>
      <c r="M286" s="89"/>
      <c r="O286" s="82"/>
      <c r="P286" s="82"/>
      <c r="Q286" s="83"/>
      <c r="R286" s="82"/>
      <c r="S286" s="82"/>
      <c r="T286" s="83"/>
      <c r="U286" s="82"/>
      <c r="V286" s="82"/>
      <c r="W286" s="83"/>
      <c r="X286" s="82"/>
      <c r="Y286" s="82"/>
    </row>
    <row r="287" spans="2:25">
      <c r="B287" s="95"/>
      <c r="C287" s="95"/>
      <c r="D287" s="96"/>
      <c r="E287" s="95"/>
      <c r="F287" s="95"/>
      <c r="G287" s="96"/>
      <c r="H287" s="95"/>
      <c r="I287" s="95"/>
      <c r="J287" s="96"/>
      <c r="K287" s="95"/>
      <c r="L287" s="95"/>
      <c r="M287" s="89"/>
      <c r="O287" s="82"/>
      <c r="P287" s="82"/>
      <c r="Q287" s="83"/>
      <c r="R287" s="82"/>
      <c r="S287" s="82"/>
      <c r="T287" s="83"/>
      <c r="U287" s="82"/>
      <c r="V287" s="82"/>
      <c r="W287" s="83"/>
      <c r="X287" s="82"/>
      <c r="Y287" s="82"/>
    </row>
    <row r="288" spans="2:25">
      <c r="B288" s="95"/>
      <c r="C288" s="95"/>
      <c r="D288" s="96"/>
      <c r="E288" s="95"/>
      <c r="F288" s="95"/>
      <c r="G288" s="96"/>
      <c r="H288" s="95"/>
      <c r="I288" s="95"/>
      <c r="J288" s="96"/>
      <c r="K288" s="95"/>
      <c r="L288" s="95"/>
      <c r="M288" s="89"/>
      <c r="O288" s="82"/>
      <c r="P288" s="82"/>
      <c r="Q288" s="83"/>
      <c r="R288" s="82"/>
      <c r="S288" s="82"/>
      <c r="T288" s="83"/>
      <c r="U288" s="82"/>
      <c r="V288" s="82"/>
      <c r="W288" s="83"/>
      <c r="X288" s="82"/>
      <c r="Y288" s="82"/>
    </row>
    <row r="289" spans="2:25">
      <c r="B289" s="95"/>
      <c r="C289" s="95"/>
      <c r="D289" s="96"/>
      <c r="E289" s="95"/>
      <c r="F289" s="95"/>
      <c r="G289" s="96"/>
      <c r="H289" s="95"/>
      <c r="I289" s="95"/>
      <c r="J289" s="96"/>
      <c r="K289" s="95"/>
      <c r="L289" s="95"/>
      <c r="M289" s="89"/>
      <c r="O289" s="82"/>
      <c r="P289" s="82"/>
      <c r="Q289" s="83"/>
      <c r="R289" s="82"/>
      <c r="S289" s="82"/>
      <c r="T289" s="83"/>
      <c r="U289" s="82"/>
      <c r="V289" s="82"/>
      <c r="W289" s="83"/>
      <c r="X289" s="82"/>
      <c r="Y289" s="82"/>
    </row>
    <row r="290" spans="2:25">
      <c r="B290" s="95"/>
      <c r="C290" s="95"/>
      <c r="D290" s="96"/>
      <c r="E290" s="95"/>
      <c r="F290" s="95"/>
      <c r="G290" s="96"/>
      <c r="H290" s="95"/>
      <c r="I290" s="95"/>
      <c r="J290" s="96"/>
      <c r="K290" s="95"/>
      <c r="L290" s="95"/>
      <c r="M290" s="89"/>
      <c r="O290" s="82"/>
      <c r="P290" s="82"/>
      <c r="Q290" s="83"/>
      <c r="R290" s="82"/>
      <c r="S290" s="82"/>
      <c r="T290" s="83"/>
      <c r="U290" s="82"/>
      <c r="V290" s="82"/>
      <c r="W290" s="83"/>
      <c r="X290" s="82"/>
      <c r="Y290" s="82"/>
    </row>
    <row r="291" spans="2:25">
      <c r="B291" s="95"/>
      <c r="C291" s="95"/>
      <c r="D291" s="96"/>
      <c r="E291" s="95"/>
      <c r="F291" s="95"/>
      <c r="G291" s="96"/>
      <c r="H291" s="95"/>
      <c r="I291" s="95"/>
      <c r="J291" s="96"/>
      <c r="K291" s="95"/>
      <c r="L291" s="95"/>
      <c r="M291" s="89"/>
      <c r="O291" s="82"/>
      <c r="P291" s="82"/>
      <c r="Q291" s="83"/>
      <c r="R291" s="82"/>
      <c r="S291" s="82"/>
      <c r="T291" s="83"/>
      <c r="U291" s="82"/>
      <c r="V291" s="82"/>
      <c r="W291" s="83"/>
      <c r="X291" s="82"/>
      <c r="Y291" s="82"/>
    </row>
    <row r="292" spans="2:25">
      <c r="B292" s="95"/>
      <c r="C292" s="95"/>
      <c r="D292" s="96"/>
      <c r="E292" s="95"/>
      <c r="F292" s="95"/>
      <c r="G292" s="96"/>
      <c r="H292" s="95"/>
      <c r="I292" s="95"/>
      <c r="J292" s="96"/>
      <c r="K292" s="95"/>
      <c r="L292" s="95"/>
      <c r="M292" s="89"/>
      <c r="O292" s="82"/>
      <c r="P292" s="82"/>
      <c r="Q292" s="83"/>
      <c r="R292" s="82"/>
      <c r="S292" s="82"/>
      <c r="T292" s="83"/>
      <c r="U292" s="82"/>
      <c r="V292" s="82"/>
      <c r="W292" s="83"/>
      <c r="X292" s="82"/>
      <c r="Y292" s="82"/>
    </row>
    <row r="293" spans="2:25">
      <c r="B293" s="95"/>
      <c r="C293" s="95"/>
      <c r="D293" s="96"/>
      <c r="E293" s="95"/>
      <c r="F293" s="95"/>
      <c r="G293" s="96"/>
      <c r="H293" s="95"/>
      <c r="I293" s="95"/>
      <c r="J293" s="96"/>
      <c r="K293" s="95"/>
      <c r="L293" s="95"/>
      <c r="M293" s="89"/>
      <c r="O293" s="82"/>
      <c r="P293" s="82"/>
      <c r="Q293" s="83"/>
      <c r="R293" s="82"/>
      <c r="S293" s="82"/>
      <c r="T293" s="83"/>
      <c r="U293" s="82"/>
      <c r="V293" s="82"/>
      <c r="W293" s="83"/>
      <c r="X293" s="82"/>
      <c r="Y293" s="82"/>
    </row>
    <row r="294" spans="2:25">
      <c r="B294" s="95"/>
      <c r="C294" s="95"/>
      <c r="D294" s="96"/>
      <c r="E294" s="95"/>
      <c r="F294" s="95"/>
      <c r="G294" s="96"/>
      <c r="H294" s="95"/>
      <c r="I294" s="95"/>
      <c r="J294" s="96"/>
      <c r="K294" s="95"/>
      <c r="L294" s="95"/>
      <c r="M294" s="89"/>
      <c r="O294" s="82"/>
      <c r="P294" s="82"/>
      <c r="Q294" s="83"/>
      <c r="R294" s="82"/>
      <c r="S294" s="82"/>
      <c r="T294" s="83"/>
      <c r="U294" s="82"/>
      <c r="V294" s="82"/>
      <c r="W294" s="83"/>
      <c r="X294" s="82"/>
      <c r="Y294" s="82"/>
    </row>
    <row r="295" spans="2:25">
      <c r="B295" s="95"/>
      <c r="C295" s="95"/>
      <c r="D295" s="96"/>
      <c r="E295" s="95"/>
      <c r="F295" s="95"/>
      <c r="G295" s="96"/>
      <c r="H295" s="95"/>
      <c r="I295" s="95"/>
      <c r="J295" s="96"/>
      <c r="K295" s="95"/>
      <c r="L295" s="95"/>
      <c r="M295" s="89"/>
      <c r="O295" s="82"/>
      <c r="P295" s="82"/>
      <c r="Q295" s="83"/>
      <c r="R295" s="82"/>
      <c r="S295" s="82"/>
      <c r="T295" s="83"/>
      <c r="U295" s="82"/>
      <c r="V295" s="82"/>
      <c r="W295" s="83"/>
      <c r="X295" s="82"/>
      <c r="Y295" s="82"/>
    </row>
    <row r="296" spans="2:25">
      <c r="B296" s="95"/>
      <c r="C296" s="95"/>
      <c r="D296" s="96"/>
      <c r="E296" s="95"/>
      <c r="F296" s="95"/>
      <c r="G296" s="96"/>
      <c r="H296" s="95"/>
      <c r="I296" s="95"/>
      <c r="J296" s="96"/>
      <c r="K296" s="95"/>
      <c r="L296" s="95"/>
      <c r="M296" s="89"/>
      <c r="O296" s="82"/>
      <c r="P296" s="82"/>
      <c r="Q296" s="83"/>
      <c r="R296" s="82"/>
      <c r="S296" s="82"/>
      <c r="T296" s="83"/>
      <c r="U296" s="82"/>
      <c r="V296" s="82"/>
      <c r="W296" s="83"/>
      <c r="X296" s="82"/>
      <c r="Y296" s="82"/>
    </row>
    <row r="297" spans="2:25">
      <c r="B297" s="95"/>
      <c r="C297" s="95"/>
      <c r="D297" s="96"/>
      <c r="E297" s="95"/>
      <c r="F297" s="95"/>
      <c r="G297" s="96"/>
      <c r="H297" s="95"/>
      <c r="I297" s="95"/>
      <c r="J297" s="96"/>
      <c r="K297" s="95"/>
      <c r="L297" s="95"/>
      <c r="M297" s="89"/>
      <c r="O297" s="82"/>
      <c r="P297" s="82"/>
      <c r="Q297" s="83"/>
      <c r="R297" s="82"/>
      <c r="S297" s="82"/>
      <c r="T297" s="83"/>
      <c r="U297" s="82"/>
      <c r="V297" s="82"/>
      <c r="W297" s="83"/>
      <c r="X297" s="82"/>
      <c r="Y297" s="82"/>
    </row>
    <row r="298" spans="2:25">
      <c r="B298" s="95"/>
      <c r="C298" s="95"/>
      <c r="D298" s="96"/>
      <c r="E298" s="95"/>
      <c r="F298" s="95"/>
      <c r="G298" s="96"/>
      <c r="H298" s="95"/>
      <c r="I298" s="95"/>
      <c r="J298" s="96"/>
      <c r="K298" s="95"/>
      <c r="L298" s="95"/>
      <c r="M298" s="89"/>
      <c r="O298" s="82"/>
      <c r="P298" s="82"/>
      <c r="Q298" s="83"/>
      <c r="R298" s="82"/>
      <c r="S298" s="82"/>
      <c r="T298" s="83"/>
      <c r="U298" s="82"/>
      <c r="V298" s="82"/>
      <c r="W298" s="83"/>
      <c r="X298" s="82"/>
      <c r="Y298" s="82"/>
    </row>
    <row r="299" spans="2:25">
      <c r="B299" s="95"/>
      <c r="C299" s="95"/>
      <c r="D299" s="96"/>
      <c r="E299" s="95"/>
      <c r="F299" s="95"/>
      <c r="G299" s="96"/>
      <c r="H299" s="95"/>
      <c r="I299" s="95"/>
      <c r="J299" s="96"/>
      <c r="K299" s="95"/>
      <c r="L299" s="95"/>
      <c r="M299" s="89"/>
      <c r="O299" s="82"/>
      <c r="P299" s="82"/>
      <c r="Q299" s="83"/>
      <c r="R299" s="82"/>
      <c r="S299" s="82"/>
      <c r="T299" s="83"/>
      <c r="U299" s="82"/>
      <c r="V299" s="82"/>
      <c r="W299" s="83"/>
      <c r="X299" s="82"/>
      <c r="Y299" s="82"/>
    </row>
    <row r="300" spans="2:25">
      <c r="B300" s="95"/>
      <c r="C300" s="95"/>
      <c r="D300" s="96"/>
      <c r="E300" s="95"/>
      <c r="F300" s="95"/>
      <c r="G300" s="96"/>
      <c r="H300" s="95"/>
      <c r="I300" s="95"/>
      <c r="J300" s="96"/>
      <c r="K300" s="95"/>
      <c r="L300" s="95"/>
      <c r="M300" s="89"/>
      <c r="O300" s="82"/>
      <c r="P300" s="82"/>
      <c r="Q300" s="83"/>
      <c r="R300" s="82"/>
      <c r="S300" s="82"/>
      <c r="T300" s="83"/>
      <c r="U300" s="82"/>
      <c r="V300" s="82"/>
      <c r="W300" s="83"/>
      <c r="X300" s="82"/>
      <c r="Y300" s="82"/>
    </row>
    <row r="301" spans="2:25">
      <c r="B301" s="95"/>
      <c r="C301" s="95"/>
      <c r="D301" s="96"/>
      <c r="E301" s="95"/>
      <c r="F301" s="95"/>
      <c r="G301" s="96"/>
      <c r="H301" s="95"/>
      <c r="I301" s="95"/>
      <c r="J301" s="96"/>
      <c r="K301" s="95"/>
      <c r="L301" s="95"/>
      <c r="M301" s="89"/>
      <c r="O301" s="82"/>
      <c r="P301" s="82"/>
      <c r="Q301" s="83"/>
      <c r="R301" s="82"/>
      <c r="S301" s="82"/>
      <c r="T301" s="83"/>
      <c r="U301" s="82"/>
      <c r="V301" s="82"/>
      <c r="W301" s="83"/>
      <c r="X301" s="82"/>
      <c r="Y301" s="82"/>
    </row>
    <row r="302" spans="2:25">
      <c r="B302" s="95"/>
      <c r="C302" s="95"/>
      <c r="D302" s="96"/>
      <c r="E302" s="95"/>
      <c r="F302" s="95"/>
      <c r="G302" s="96"/>
      <c r="H302" s="95"/>
      <c r="I302" s="95"/>
      <c r="J302" s="96"/>
      <c r="K302" s="95"/>
      <c r="L302" s="95"/>
      <c r="M302" s="89"/>
      <c r="O302" s="82"/>
      <c r="P302" s="82"/>
      <c r="Q302" s="83"/>
      <c r="R302" s="82"/>
      <c r="S302" s="82"/>
      <c r="T302" s="83"/>
      <c r="U302" s="82"/>
      <c r="V302" s="82"/>
      <c r="W302" s="83"/>
      <c r="X302" s="82"/>
      <c r="Y302" s="82"/>
    </row>
    <row r="303" spans="2:25">
      <c r="B303" s="95"/>
      <c r="C303" s="95"/>
      <c r="D303" s="96"/>
      <c r="E303" s="95"/>
      <c r="F303" s="95"/>
      <c r="G303" s="96"/>
      <c r="H303" s="95"/>
      <c r="I303" s="95"/>
      <c r="J303" s="96"/>
      <c r="K303" s="95"/>
      <c r="L303" s="95"/>
      <c r="M303" s="89"/>
      <c r="O303" s="82"/>
      <c r="P303" s="82"/>
      <c r="Q303" s="83"/>
      <c r="R303" s="82"/>
      <c r="S303" s="82"/>
      <c r="T303" s="83"/>
      <c r="U303" s="82"/>
      <c r="V303" s="82"/>
      <c r="W303" s="83"/>
      <c r="X303" s="82"/>
      <c r="Y303" s="82"/>
    </row>
    <row r="304" spans="2:25">
      <c r="B304" s="95"/>
      <c r="C304" s="95"/>
      <c r="D304" s="96"/>
      <c r="E304" s="95"/>
      <c r="F304" s="95"/>
      <c r="G304" s="96"/>
      <c r="H304" s="95"/>
      <c r="I304" s="95"/>
      <c r="J304" s="96"/>
      <c r="K304" s="95"/>
      <c r="L304" s="95"/>
      <c r="M304" s="89"/>
      <c r="O304" s="82"/>
      <c r="P304" s="82"/>
      <c r="Q304" s="83"/>
      <c r="R304" s="82"/>
      <c r="S304" s="82"/>
      <c r="T304" s="83"/>
      <c r="U304" s="82"/>
      <c r="V304" s="82"/>
      <c r="W304" s="83"/>
      <c r="X304" s="82"/>
      <c r="Y304" s="82"/>
    </row>
    <row r="305" spans="2:25">
      <c r="B305" s="95"/>
      <c r="C305" s="95"/>
      <c r="D305" s="96"/>
      <c r="E305" s="95"/>
      <c r="F305" s="95"/>
      <c r="G305" s="96"/>
      <c r="H305" s="95"/>
      <c r="I305" s="95"/>
      <c r="J305" s="96"/>
      <c r="K305" s="95"/>
      <c r="L305" s="95"/>
      <c r="M305" s="89"/>
      <c r="O305" s="82"/>
      <c r="P305" s="82"/>
      <c r="Q305" s="83"/>
      <c r="R305" s="82"/>
      <c r="S305" s="82"/>
      <c r="T305" s="83"/>
      <c r="U305" s="82"/>
      <c r="V305" s="82"/>
      <c r="W305" s="83"/>
      <c r="X305" s="82"/>
      <c r="Y305" s="82"/>
    </row>
    <row r="306" spans="2:25">
      <c r="B306" s="95"/>
      <c r="C306" s="95"/>
      <c r="D306" s="96"/>
      <c r="E306" s="95"/>
      <c r="F306" s="95"/>
      <c r="G306" s="96"/>
      <c r="H306" s="95"/>
      <c r="I306" s="95"/>
      <c r="J306" s="96"/>
      <c r="K306" s="95"/>
      <c r="L306" s="95"/>
      <c r="M306" s="89"/>
      <c r="O306" s="82"/>
      <c r="P306" s="82"/>
      <c r="Q306" s="83"/>
      <c r="R306" s="82"/>
      <c r="S306" s="82"/>
      <c r="T306" s="83"/>
      <c r="U306" s="82"/>
      <c r="V306" s="82"/>
      <c r="W306" s="83"/>
      <c r="X306" s="82"/>
      <c r="Y306" s="82"/>
    </row>
    <row r="307" spans="2:25">
      <c r="B307" s="95"/>
      <c r="C307" s="95"/>
      <c r="D307" s="96"/>
      <c r="E307" s="95"/>
      <c r="F307" s="95"/>
      <c r="G307" s="96"/>
      <c r="H307" s="95"/>
      <c r="I307" s="95"/>
      <c r="J307" s="96"/>
      <c r="K307" s="95"/>
      <c r="L307" s="95"/>
      <c r="M307" s="89"/>
      <c r="O307" s="82"/>
      <c r="P307" s="82"/>
      <c r="Q307" s="83"/>
      <c r="R307" s="82"/>
      <c r="S307" s="82"/>
      <c r="T307" s="83"/>
      <c r="U307" s="82"/>
      <c r="V307" s="82"/>
      <c r="W307" s="83"/>
      <c r="X307" s="82"/>
      <c r="Y307" s="82"/>
    </row>
    <row r="308" spans="2:25">
      <c r="B308" s="95"/>
      <c r="C308" s="95"/>
      <c r="D308" s="96"/>
      <c r="E308" s="95"/>
      <c r="F308" s="95"/>
      <c r="G308" s="96"/>
      <c r="H308" s="95"/>
      <c r="I308" s="95"/>
      <c r="J308" s="96"/>
      <c r="K308" s="95"/>
      <c r="L308" s="95"/>
      <c r="M308" s="89"/>
      <c r="O308" s="82"/>
      <c r="P308" s="82"/>
      <c r="Q308" s="83"/>
      <c r="R308" s="82"/>
      <c r="S308" s="82"/>
      <c r="T308" s="83"/>
      <c r="U308" s="82"/>
      <c r="V308" s="82"/>
      <c r="W308" s="83"/>
      <c r="X308" s="82"/>
      <c r="Y308" s="82"/>
    </row>
    <row r="309" spans="2:25">
      <c r="B309" s="95"/>
      <c r="C309" s="95"/>
      <c r="D309" s="96"/>
      <c r="E309" s="95"/>
      <c r="F309" s="95"/>
      <c r="G309" s="96"/>
      <c r="H309" s="95"/>
      <c r="I309" s="95"/>
      <c r="J309" s="96"/>
      <c r="K309" s="95"/>
      <c r="L309" s="95"/>
      <c r="M309" s="89"/>
      <c r="O309" s="82"/>
      <c r="P309" s="82"/>
      <c r="Q309" s="83"/>
      <c r="R309" s="82"/>
      <c r="S309" s="82"/>
      <c r="T309" s="83"/>
      <c r="U309" s="82"/>
      <c r="V309" s="82"/>
      <c r="W309" s="83"/>
      <c r="X309" s="82"/>
      <c r="Y309" s="82"/>
    </row>
    <row r="310" spans="2:25">
      <c r="B310" s="95"/>
      <c r="C310" s="95"/>
      <c r="D310" s="96"/>
      <c r="E310" s="95"/>
      <c r="F310" s="95"/>
      <c r="G310" s="96"/>
      <c r="H310" s="95"/>
      <c r="I310" s="95"/>
      <c r="J310" s="96"/>
      <c r="K310" s="95"/>
      <c r="L310" s="95"/>
      <c r="M310" s="89"/>
      <c r="O310" s="82"/>
      <c r="P310" s="82"/>
      <c r="Q310" s="83"/>
      <c r="R310" s="82"/>
      <c r="S310" s="82"/>
      <c r="T310" s="83"/>
      <c r="U310" s="82"/>
      <c r="V310" s="82"/>
      <c r="W310" s="83"/>
      <c r="X310" s="82"/>
      <c r="Y310" s="82"/>
    </row>
    <row r="311" spans="2:25">
      <c r="B311" s="95"/>
      <c r="C311" s="95"/>
      <c r="D311" s="96"/>
      <c r="E311" s="95"/>
      <c r="F311" s="95"/>
      <c r="G311" s="96"/>
      <c r="H311" s="95"/>
      <c r="I311" s="95"/>
      <c r="J311" s="96"/>
      <c r="K311" s="95"/>
      <c r="L311" s="95"/>
      <c r="M311" s="89"/>
      <c r="O311" s="82"/>
      <c r="P311" s="82"/>
      <c r="Q311" s="83"/>
      <c r="R311" s="82"/>
      <c r="S311" s="82"/>
      <c r="T311" s="83"/>
      <c r="U311" s="82"/>
      <c r="V311" s="82"/>
      <c r="W311" s="83"/>
      <c r="X311" s="82"/>
      <c r="Y311" s="82"/>
    </row>
    <row r="312" spans="2:25">
      <c r="B312" s="95"/>
      <c r="C312" s="95"/>
      <c r="D312" s="96"/>
      <c r="E312" s="95"/>
      <c r="F312" s="95"/>
      <c r="G312" s="96"/>
      <c r="H312" s="95"/>
      <c r="I312" s="95"/>
      <c r="J312" s="96"/>
      <c r="K312" s="95"/>
      <c r="L312" s="95"/>
      <c r="M312" s="89"/>
      <c r="O312" s="82"/>
      <c r="P312" s="82"/>
      <c r="Q312" s="83"/>
      <c r="R312" s="82"/>
      <c r="S312" s="82"/>
      <c r="T312" s="83"/>
      <c r="U312" s="82"/>
      <c r="V312" s="82"/>
      <c r="W312" s="83"/>
      <c r="X312" s="82"/>
      <c r="Y312" s="82"/>
    </row>
    <row r="313" spans="2:25">
      <c r="B313" s="95"/>
      <c r="C313" s="95"/>
      <c r="D313" s="96"/>
      <c r="E313" s="95"/>
      <c r="F313" s="95"/>
      <c r="G313" s="96"/>
      <c r="H313" s="95"/>
      <c r="I313" s="95"/>
      <c r="J313" s="96"/>
      <c r="K313" s="95"/>
      <c r="L313" s="95"/>
      <c r="M313" s="89"/>
      <c r="O313" s="82"/>
      <c r="P313" s="82"/>
      <c r="Q313" s="83"/>
      <c r="R313" s="82"/>
      <c r="S313" s="82"/>
      <c r="T313" s="83"/>
      <c r="U313" s="82"/>
      <c r="V313" s="82"/>
      <c r="W313" s="83"/>
      <c r="X313" s="82"/>
      <c r="Y313" s="82"/>
    </row>
    <row r="314" spans="2:25">
      <c r="B314" s="95"/>
      <c r="C314" s="95"/>
      <c r="D314" s="96"/>
      <c r="E314" s="95"/>
      <c r="F314" s="95"/>
      <c r="G314" s="96"/>
      <c r="H314" s="95"/>
      <c r="I314" s="95"/>
      <c r="J314" s="96"/>
      <c r="K314" s="95"/>
      <c r="L314" s="95"/>
      <c r="M314" s="89"/>
      <c r="O314" s="82"/>
      <c r="P314" s="82"/>
      <c r="Q314" s="83"/>
      <c r="R314" s="82"/>
      <c r="S314" s="82"/>
      <c r="T314" s="83"/>
      <c r="U314" s="82"/>
      <c r="V314" s="82"/>
      <c r="W314" s="83"/>
      <c r="X314" s="82"/>
      <c r="Y314" s="82"/>
    </row>
    <row r="315" spans="2:25">
      <c r="B315" s="95"/>
      <c r="C315" s="95"/>
      <c r="D315" s="96"/>
      <c r="E315" s="95"/>
      <c r="F315" s="95"/>
      <c r="G315" s="96"/>
      <c r="H315" s="95"/>
      <c r="I315" s="95"/>
      <c r="J315" s="96"/>
      <c r="K315" s="95"/>
      <c r="L315" s="95"/>
      <c r="M315" s="89"/>
      <c r="O315" s="82"/>
      <c r="P315" s="82"/>
      <c r="Q315" s="83"/>
      <c r="R315" s="82"/>
      <c r="S315" s="82"/>
      <c r="T315" s="83"/>
      <c r="U315" s="82"/>
      <c r="V315" s="82"/>
      <c r="W315" s="83"/>
      <c r="X315" s="82"/>
      <c r="Y315" s="82"/>
    </row>
    <row r="316" spans="2:25">
      <c r="B316" s="95"/>
      <c r="C316" s="95"/>
      <c r="D316" s="96"/>
      <c r="E316" s="95"/>
      <c r="F316" s="95"/>
      <c r="G316" s="96"/>
      <c r="H316" s="95"/>
      <c r="I316" s="95"/>
      <c r="J316" s="96"/>
      <c r="K316" s="95"/>
      <c r="L316" s="95"/>
      <c r="M316" s="89"/>
      <c r="O316" s="82"/>
      <c r="P316" s="82"/>
      <c r="Q316" s="83"/>
      <c r="R316" s="82"/>
      <c r="S316" s="82"/>
      <c r="T316" s="83"/>
      <c r="U316" s="82"/>
      <c r="V316" s="82"/>
      <c r="W316" s="83"/>
      <c r="X316" s="82"/>
      <c r="Y316" s="82"/>
    </row>
    <row r="317" spans="2:25">
      <c r="B317" s="95"/>
      <c r="C317" s="95"/>
      <c r="D317" s="96"/>
      <c r="E317" s="95"/>
      <c r="F317" s="95"/>
      <c r="G317" s="96"/>
      <c r="H317" s="95"/>
      <c r="I317" s="95"/>
      <c r="J317" s="96"/>
      <c r="K317" s="95"/>
      <c r="L317" s="95"/>
      <c r="M317" s="89"/>
      <c r="O317" s="82"/>
      <c r="P317" s="82"/>
      <c r="Q317" s="83"/>
      <c r="R317" s="82"/>
      <c r="S317" s="82"/>
      <c r="T317" s="83"/>
      <c r="U317" s="82"/>
      <c r="V317" s="82"/>
      <c r="W317" s="83"/>
      <c r="X317" s="82"/>
      <c r="Y317" s="82"/>
    </row>
    <row r="318" spans="2:25">
      <c r="B318" s="95"/>
      <c r="C318" s="95"/>
      <c r="D318" s="96"/>
      <c r="E318" s="95"/>
      <c r="F318" s="95"/>
      <c r="G318" s="96"/>
      <c r="H318" s="95"/>
      <c r="I318" s="95"/>
      <c r="J318" s="96"/>
      <c r="K318" s="95"/>
      <c r="L318" s="95"/>
      <c r="M318" s="89"/>
      <c r="O318" s="82"/>
      <c r="P318" s="82"/>
      <c r="Q318" s="83"/>
      <c r="R318" s="82"/>
      <c r="S318" s="82"/>
      <c r="T318" s="83"/>
      <c r="U318" s="82"/>
      <c r="V318" s="82"/>
      <c r="W318" s="83"/>
      <c r="X318" s="82"/>
      <c r="Y318" s="82"/>
    </row>
    <row r="319" spans="2:25">
      <c r="B319" s="95"/>
      <c r="C319" s="95"/>
      <c r="D319" s="96"/>
      <c r="E319" s="95"/>
      <c r="F319" s="95"/>
      <c r="G319" s="96"/>
      <c r="H319" s="95"/>
      <c r="I319" s="95"/>
      <c r="J319" s="96"/>
      <c r="K319" s="95"/>
      <c r="L319" s="95"/>
      <c r="M319" s="89"/>
      <c r="O319" s="82"/>
      <c r="P319" s="82"/>
      <c r="Q319" s="83"/>
      <c r="R319" s="82"/>
      <c r="S319" s="82"/>
      <c r="T319" s="83"/>
      <c r="U319" s="82"/>
      <c r="V319" s="82"/>
      <c r="W319" s="83"/>
      <c r="X319" s="82"/>
      <c r="Y319" s="82"/>
    </row>
    <row r="320" spans="2:25">
      <c r="B320" s="95"/>
      <c r="C320" s="95"/>
      <c r="D320" s="96"/>
      <c r="E320" s="95"/>
      <c r="F320" s="95"/>
      <c r="G320" s="96"/>
      <c r="H320" s="95"/>
      <c r="I320" s="95"/>
      <c r="J320" s="96"/>
      <c r="K320" s="95"/>
      <c r="L320" s="95"/>
      <c r="M320" s="89"/>
      <c r="O320" s="82"/>
      <c r="P320" s="82"/>
      <c r="Q320" s="83"/>
      <c r="R320" s="82"/>
      <c r="S320" s="82"/>
      <c r="T320" s="83"/>
      <c r="U320" s="82"/>
      <c r="V320" s="82"/>
      <c r="W320" s="83"/>
      <c r="X320" s="82"/>
      <c r="Y320" s="82"/>
    </row>
    <row r="321" spans="2:25">
      <c r="B321" s="95"/>
      <c r="C321" s="95"/>
      <c r="D321" s="96"/>
      <c r="E321" s="95"/>
      <c r="F321" s="95"/>
      <c r="G321" s="96"/>
      <c r="H321" s="95"/>
      <c r="I321" s="95"/>
      <c r="J321" s="96"/>
      <c r="K321" s="95"/>
      <c r="L321" s="95"/>
      <c r="M321" s="89"/>
      <c r="O321" s="82"/>
      <c r="P321" s="82"/>
      <c r="Q321" s="83"/>
      <c r="R321" s="82"/>
      <c r="S321" s="82"/>
      <c r="T321" s="83"/>
      <c r="U321" s="82"/>
      <c r="V321" s="82"/>
      <c r="W321" s="83"/>
      <c r="X321" s="82"/>
      <c r="Y321" s="82"/>
    </row>
    <row r="322" spans="2:25">
      <c r="B322" s="95"/>
      <c r="C322" s="95"/>
      <c r="D322" s="96"/>
      <c r="E322" s="95"/>
      <c r="F322" s="95"/>
      <c r="G322" s="96"/>
      <c r="H322" s="95"/>
      <c r="I322" s="95"/>
      <c r="J322" s="96"/>
      <c r="K322" s="95"/>
      <c r="L322" s="95"/>
      <c r="M322" s="89"/>
      <c r="O322" s="82"/>
      <c r="P322" s="82"/>
      <c r="Q322" s="83"/>
      <c r="R322" s="82"/>
      <c r="S322" s="82"/>
      <c r="T322" s="83"/>
      <c r="U322" s="82"/>
      <c r="V322" s="82"/>
      <c r="W322" s="83"/>
      <c r="X322" s="82"/>
      <c r="Y322" s="82"/>
    </row>
    <row r="323" spans="2:25">
      <c r="B323" s="95"/>
      <c r="C323" s="95"/>
      <c r="D323" s="96"/>
      <c r="E323" s="95"/>
      <c r="F323" s="95"/>
      <c r="G323" s="96"/>
      <c r="H323" s="95"/>
      <c r="I323" s="95"/>
      <c r="J323" s="96"/>
      <c r="K323" s="95"/>
      <c r="L323" s="95"/>
      <c r="M323" s="89"/>
      <c r="O323" s="82"/>
      <c r="P323" s="82"/>
      <c r="Q323" s="83"/>
      <c r="R323" s="82"/>
      <c r="S323" s="82"/>
      <c r="T323" s="83"/>
      <c r="U323" s="82"/>
      <c r="V323" s="82"/>
      <c r="W323" s="83"/>
      <c r="X323" s="82"/>
      <c r="Y323" s="82"/>
    </row>
    <row r="324" spans="2:25">
      <c r="B324" s="95"/>
      <c r="C324" s="95"/>
      <c r="D324" s="96"/>
      <c r="E324" s="95"/>
      <c r="F324" s="95"/>
      <c r="G324" s="96"/>
      <c r="H324" s="95"/>
      <c r="I324" s="95"/>
      <c r="J324" s="96"/>
      <c r="K324" s="95"/>
      <c r="L324" s="95"/>
      <c r="M324" s="89"/>
      <c r="O324" s="82"/>
      <c r="P324" s="82"/>
      <c r="Q324" s="83"/>
      <c r="R324" s="82"/>
      <c r="S324" s="82"/>
      <c r="T324" s="83"/>
      <c r="U324" s="82"/>
      <c r="V324" s="82"/>
      <c r="W324" s="83"/>
      <c r="X324" s="82"/>
      <c r="Y324" s="82"/>
    </row>
    <row r="325" spans="2:25">
      <c r="B325" s="95"/>
      <c r="C325" s="95"/>
      <c r="D325" s="96"/>
      <c r="E325" s="95"/>
      <c r="F325" s="95"/>
      <c r="G325" s="96"/>
      <c r="H325" s="95"/>
      <c r="I325" s="95"/>
      <c r="J325" s="96"/>
      <c r="K325" s="95"/>
      <c r="L325" s="95"/>
      <c r="M325" s="89"/>
      <c r="O325" s="82"/>
      <c r="P325" s="82"/>
      <c r="Q325" s="83"/>
      <c r="R325" s="82"/>
      <c r="S325" s="82"/>
      <c r="T325" s="83"/>
      <c r="U325" s="82"/>
      <c r="V325" s="82"/>
      <c r="W325" s="83"/>
      <c r="X325" s="82"/>
      <c r="Y325" s="82"/>
    </row>
    <row r="326" spans="2:25">
      <c r="B326" s="95"/>
      <c r="C326" s="95"/>
      <c r="D326" s="96"/>
      <c r="E326" s="95"/>
      <c r="F326" s="95"/>
      <c r="G326" s="96"/>
      <c r="H326" s="95"/>
      <c r="I326" s="95"/>
      <c r="J326" s="96"/>
      <c r="K326" s="95"/>
      <c r="L326" s="95"/>
      <c r="M326" s="89"/>
      <c r="O326" s="82"/>
      <c r="P326" s="82"/>
      <c r="Q326" s="83"/>
      <c r="R326" s="82"/>
      <c r="S326" s="82"/>
      <c r="T326" s="83"/>
      <c r="U326" s="82"/>
      <c r="V326" s="82"/>
      <c r="W326" s="83"/>
      <c r="X326" s="82"/>
      <c r="Y326" s="82"/>
    </row>
    <row r="327" spans="2:25">
      <c r="B327" s="95"/>
      <c r="C327" s="95"/>
      <c r="D327" s="96"/>
      <c r="E327" s="95"/>
      <c r="F327" s="95"/>
      <c r="G327" s="96"/>
      <c r="H327" s="95"/>
      <c r="I327" s="95"/>
      <c r="J327" s="96"/>
      <c r="K327" s="95"/>
      <c r="L327" s="95"/>
      <c r="M327" s="89"/>
      <c r="O327" s="82"/>
      <c r="P327" s="82"/>
      <c r="Q327" s="83"/>
      <c r="R327" s="82"/>
      <c r="S327" s="82"/>
      <c r="T327" s="83"/>
      <c r="U327" s="82"/>
      <c r="V327" s="82"/>
      <c r="W327" s="83"/>
      <c r="X327" s="82"/>
      <c r="Y327" s="82"/>
    </row>
    <row r="328" spans="2:25">
      <c r="B328" s="95"/>
      <c r="C328" s="95"/>
      <c r="D328" s="96"/>
      <c r="E328" s="95"/>
      <c r="F328" s="95"/>
      <c r="G328" s="96"/>
      <c r="H328" s="95"/>
      <c r="I328" s="95"/>
      <c r="J328" s="96"/>
      <c r="K328" s="95"/>
      <c r="L328" s="95"/>
      <c r="M328" s="89"/>
      <c r="O328" s="82"/>
      <c r="P328" s="82"/>
      <c r="Q328" s="83"/>
      <c r="R328" s="82"/>
      <c r="S328" s="82"/>
      <c r="T328" s="83"/>
      <c r="U328" s="82"/>
      <c r="V328" s="82"/>
      <c r="W328" s="83"/>
      <c r="X328" s="82"/>
      <c r="Y328" s="82"/>
    </row>
    <row r="329" spans="2:25">
      <c r="B329" s="95"/>
      <c r="C329" s="95"/>
      <c r="D329" s="96"/>
      <c r="E329" s="95"/>
      <c r="F329" s="95"/>
      <c r="G329" s="96"/>
      <c r="H329" s="95"/>
      <c r="I329" s="95"/>
      <c r="J329" s="96"/>
      <c r="K329" s="95"/>
      <c r="L329" s="95"/>
      <c r="M329" s="89"/>
      <c r="O329" s="82"/>
      <c r="P329" s="82"/>
      <c r="Q329" s="83"/>
      <c r="R329" s="82"/>
      <c r="S329" s="82"/>
      <c r="T329" s="83"/>
      <c r="U329" s="82"/>
      <c r="V329" s="82"/>
      <c r="W329" s="83"/>
      <c r="X329" s="82"/>
      <c r="Y329" s="82"/>
    </row>
    <row r="330" spans="2:25">
      <c r="B330" s="95"/>
      <c r="C330" s="95"/>
      <c r="D330" s="96"/>
      <c r="E330" s="95"/>
      <c r="F330" s="95"/>
      <c r="G330" s="96"/>
      <c r="H330" s="95"/>
      <c r="I330" s="95"/>
      <c r="J330" s="96"/>
      <c r="K330" s="95"/>
      <c r="L330" s="95"/>
      <c r="M330" s="89"/>
      <c r="O330" s="82"/>
      <c r="P330" s="82"/>
      <c r="Q330" s="83"/>
      <c r="R330" s="82"/>
      <c r="S330" s="82"/>
      <c r="T330" s="83"/>
      <c r="U330" s="82"/>
      <c r="V330" s="82"/>
      <c r="W330" s="83"/>
      <c r="X330" s="82"/>
      <c r="Y330" s="82"/>
    </row>
    <row r="331" spans="2:25">
      <c r="B331" s="95"/>
      <c r="C331" s="95"/>
      <c r="D331" s="96"/>
      <c r="E331" s="95"/>
      <c r="F331" s="95"/>
      <c r="G331" s="96"/>
      <c r="H331" s="95"/>
      <c r="I331" s="95"/>
      <c r="J331" s="96"/>
      <c r="K331" s="95"/>
      <c r="L331" s="95"/>
      <c r="M331" s="89"/>
      <c r="O331" s="82"/>
      <c r="P331" s="82"/>
      <c r="Q331" s="83"/>
      <c r="R331" s="82"/>
      <c r="S331" s="82"/>
      <c r="T331" s="83"/>
      <c r="U331" s="82"/>
      <c r="V331" s="82"/>
      <c r="W331" s="83"/>
      <c r="X331" s="82"/>
      <c r="Y331" s="82"/>
    </row>
    <row r="332" spans="2:25">
      <c r="B332" s="95"/>
      <c r="C332" s="95"/>
      <c r="D332" s="96"/>
      <c r="E332" s="95"/>
      <c r="F332" s="95"/>
      <c r="G332" s="96"/>
      <c r="H332" s="95"/>
      <c r="I332" s="95"/>
      <c r="J332" s="96"/>
      <c r="K332" s="95"/>
      <c r="L332" s="95"/>
      <c r="M332" s="89"/>
      <c r="O332" s="82"/>
      <c r="P332" s="82"/>
      <c r="Q332" s="83"/>
      <c r="R332" s="82"/>
      <c r="S332" s="82"/>
      <c r="T332" s="83"/>
      <c r="U332" s="82"/>
      <c r="V332" s="82"/>
      <c r="W332" s="83"/>
      <c r="X332" s="82"/>
      <c r="Y332" s="82"/>
    </row>
    <row r="333" spans="2:25">
      <c r="B333" s="95"/>
      <c r="C333" s="95"/>
      <c r="D333" s="96"/>
      <c r="E333" s="95"/>
      <c r="F333" s="95"/>
      <c r="G333" s="96"/>
      <c r="H333" s="95"/>
      <c r="I333" s="95"/>
      <c r="J333" s="96"/>
      <c r="K333" s="95"/>
      <c r="L333" s="95"/>
      <c r="M333" s="89"/>
      <c r="O333" s="82"/>
      <c r="P333" s="82"/>
      <c r="Q333" s="83"/>
      <c r="R333" s="82"/>
      <c r="S333" s="82"/>
      <c r="T333" s="83"/>
      <c r="U333" s="82"/>
      <c r="V333" s="82"/>
      <c r="W333" s="83"/>
      <c r="X333" s="82"/>
      <c r="Y333" s="82"/>
    </row>
    <row r="334" spans="2:25">
      <c r="B334" s="95"/>
      <c r="C334" s="95"/>
      <c r="D334" s="96"/>
      <c r="E334" s="95"/>
      <c r="F334" s="95"/>
      <c r="G334" s="96"/>
      <c r="H334" s="95"/>
      <c r="I334" s="95"/>
      <c r="J334" s="96"/>
      <c r="K334" s="95"/>
      <c r="L334" s="95"/>
      <c r="M334" s="89"/>
      <c r="O334" s="82"/>
      <c r="P334" s="82"/>
      <c r="Q334" s="83"/>
      <c r="R334" s="82"/>
      <c r="S334" s="82"/>
      <c r="T334" s="83"/>
      <c r="U334" s="82"/>
      <c r="V334" s="82"/>
      <c r="W334" s="83"/>
      <c r="X334" s="82"/>
      <c r="Y334" s="82"/>
    </row>
    <row r="335" spans="2:25">
      <c r="B335" s="95"/>
      <c r="C335" s="95"/>
      <c r="D335" s="96"/>
      <c r="E335" s="95"/>
      <c r="F335" s="95"/>
      <c r="G335" s="96"/>
      <c r="H335" s="95"/>
      <c r="I335" s="95"/>
      <c r="J335" s="96"/>
      <c r="K335" s="95"/>
      <c r="L335" s="95"/>
      <c r="M335" s="89"/>
      <c r="O335" s="82"/>
      <c r="P335" s="82"/>
      <c r="Q335" s="83"/>
      <c r="R335" s="82"/>
      <c r="S335" s="82"/>
      <c r="T335" s="83"/>
      <c r="U335" s="82"/>
      <c r="V335" s="82"/>
      <c r="W335" s="83"/>
      <c r="X335" s="82"/>
      <c r="Y335" s="82"/>
    </row>
    <row r="336" spans="2:25">
      <c r="B336" s="95"/>
      <c r="C336" s="95"/>
      <c r="D336" s="96"/>
      <c r="E336" s="95"/>
      <c r="F336" s="95"/>
      <c r="G336" s="96"/>
      <c r="H336" s="95"/>
      <c r="I336" s="95"/>
      <c r="J336" s="96"/>
      <c r="K336" s="95"/>
      <c r="L336" s="95"/>
      <c r="M336" s="89"/>
      <c r="O336" s="82"/>
      <c r="P336" s="82"/>
      <c r="Q336" s="83"/>
      <c r="R336" s="82"/>
      <c r="S336" s="82"/>
      <c r="T336" s="83"/>
      <c r="U336" s="82"/>
      <c r="V336" s="82"/>
      <c r="W336" s="83"/>
      <c r="X336" s="82"/>
      <c r="Y336" s="82"/>
    </row>
    <row r="337" spans="2:25">
      <c r="B337" s="95"/>
      <c r="C337" s="95"/>
      <c r="D337" s="96"/>
      <c r="E337" s="95"/>
      <c r="F337" s="95"/>
      <c r="G337" s="96"/>
      <c r="H337" s="95"/>
      <c r="I337" s="95"/>
      <c r="J337" s="96"/>
      <c r="K337" s="95"/>
      <c r="L337" s="95"/>
      <c r="M337" s="89"/>
      <c r="O337" s="82"/>
      <c r="P337" s="82"/>
      <c r="Q337" s="83"/>
      <c r="R337" s="82"/>
      <c r="S337" s="82"/>
      <c r="T337" s="83"/>
      <c r="U337" s="82"/>
      <c r="V337" s="82"/>
      <c r="W337" s="83"/>
      <c r="X337" s="82"/>
      <c r="Y337" s="82"/>
    </row>
    <row r="338" spans="2:25">
      <c r="B338" s="95"/>
      <c r="C338" s="95"/>
      <c r="D338" s="96"/>
      <c r="E338" s="95"/>
      <c r="F338" s="95"/>
      <c r="G338" s="96"/>
      <c r="H338" s="95"/>
      <c r="I338" s="95"/>
      <c r="J338" s="96"/>
      <c r="K338" s="95"/>
      <c r="L338" s="95"/>
      <c r="M338" s="89"/>
      <c r="O338" s="82"/>
      <c r="P338" s="82"/>
      <c r="Q338" s="83"/>
      <c r="R338" s="82"/>
      <c r="S338" s="82"/>
      <c r="T338" s="83"/>
      <c r="U338" s="82"/>
      <c r="V338" s="82"/>
      <c r="W338" s="83"/>
      <c r="X338" s="82"/>
      <c r="Y338" s="82"/>
    </row>
    <row r="339" spans="2:25">
      <c r="B339" s="95"/>
      <c r="C339" s="95"/>
      <c r="D339" s="96"/>
      <c r="E339" s="95"/>
      <c r="F339" s="95"/>
      <c r="G339" s="96"/>
      <c r="H339" s="95"/>
      <c r="I339" s="95"/>
      <c r="J339" s="96"/>
      <c r="K339" s="95"/>
      <c r="L339" s="95"/>
      <c r="M339" s="89"/>
      <c r="O339" s="82"/>
      <c r="P339" s="82"/>
      <c r="Q339" s="83"/>
      <c r="R339" s="82"/>
      <c r="S339" s="82"/>
      <c r="T339" s="83"/>
      <c r="U339" s="82"/>
      <c r="V339" s="82"/>
      <c r="W339" s="83"/>
      <c r="X339" s="82"/>
      <c r="Y339" s="82"/>
    </row>
    <row r="340" spans="2:25">
      <c r="B340" s="95"/>
      <c r="C340" s="95"/>
      <c r="D340" s="96"/>
      <c r="E340" s="95"/>
      <c r="F340" s="95"/>
      <c r="G340" s="96"/>
      <c r="H340" s="95"/>
      <c r="I340" s="95"/>
      <c r="J340" s="96"/>
      <c r="K340" s="95"/>
      <c r="L340" s="95"/>
      <c r="M340" s="89"/>
      <c r="O340" s="82"/>
      <c r="P340" s="82"/>
      <c r="Q340" s="83"/>
      <c r="R340" s="82"/>
      <c r="S340" s="82"/>
      <c r="T340" s="83"/>
      <c r="U340" s="82"/>
      <c r="V340" s="82"/>
      <c r="W340" s="83"/>
      <c r="X340" s="82"/>
      <c r="Y340" s="82"/>
    </row>
    <row r="341" spans="2:25">
      <c r="B341" s="95"/>
      <c r="C341" s="95"/>
      <c r="D341" s="96"/>
      <c r="E341" s="95"/>
      <c r="F341" s="95"/>
      <c r="G341" s="96"/>
      <c r="H341" s="95"/>
      <c r="I341" s="95"/>
      <c r="J341" s="96"/>
      <c r="K341" s="95"/>
      <c r="L341" s="95"/>
      <c r="M341" s="89"/>
      <c r="O341" s="82"/>
      <c r="P341" s="82"/>
      <c r="Q341" s="83"/>
      <c r="R341" s="82"/>
      <c r="S341" s="82"/>
      <c r="T341" s="83"/>
      <c r="U341" s="82"/>
      <c r="V341" s="82"/>
      <c r="W341" s="83"/>
      <c r="X341" s="82"/>
      <c r="Y341" s="82"/>
    </row>
    <row r="342" spans="2:25">
      <c r="B342" s="95"/>
      <c r="C342" s="95"/>
      <c r="D342" s="96"/>
      <c r="E342" s="95"/>
      <c r="F342" s="95"/>
      <c r="G342" s="96"/>
      <c r="H342" s="95"/>
      <c r="I342" s="95"/>
      <c r="J342" s="96"/>
      <c r="K342" s="95"/>
      <c r="L342" s="95"/>
      <c r="M342" s="89"/>
      <c r="O342" s="82"/>
      <c r="P342" s="82"/>
      <c r="Q342" s="83"/>
      <c r="R342" s="82"/>
      <c r="S342" s="82"/>
      <c r="T342" s="83"/>
      <c r="U342" s="82"/>
      <c r="V342" s="82"/>
      <c r="W342" s="83"/>
      <c r="X342" s="82"/>
      <c r="Y342" s="82"/>
    </row>
    <row r="343" spans="2:25">
      <c r="B343" s="95"/>
      <c r="C343" s="95"/>
      <c r="D343" s="96"/>
      <c r="E343" s="95"/>
      <c r="F343" s="95"/>
      <c r="G343" s="96"/>
      <c r="H343" s="95"/>
      <c r="I343" s="95"/>
      <c r="J343" s="96"/>
      <c r="K343" s="95"/>
      <c r="L343" s="95"/>
      <c r="M343" s="89"/>
      <c r="O343" s="82"/>
      <c r="P343" s="82"/>
      <c r="Q343" s="83"/>
      <c r="R343" s="82"/>
      <c r="S343" s="82"/>
      <c r="T343" s="83"/>
      <c r="U343" s="82"/>
      <c r="V343" s="82"/>
      <c r="W343" s="83"/>
      <c r="X343" s="82"/>
      <c r="Y343" s="82"/>
    </row>
    <row r="344" spans="2:25">
      <c r="B344" s="95"/>
      <c r="C344" s="95"/>
      <c r="D344" s="96"/>
      <c r="E344" s="95"/>
      <c r="F344" s="95"/>
      <c r="G344" s="96"/>
      <c r="H344" s="95"/>
      <c r="I344" s="95"/>
      <c r="J344" s="96"/>
      <c r="K344" s="95"/>
      <c r="L344" s="95"/>
      <c r="M344" s="89"/>
      <c r="O344" s="82"/>
      <c r="P344" s="82"/>
      <c r="Q344" s="83"/>
      <c r="R344" s="82"/>
      <c r="S344" s="82"/>
      <c r="T344" s="83"/>
      <c r="U344" s="82"/>
      <c r="V344" s="82"/>
      <c r="W344" s="83"/>
      <c r="X344" s="82"/>
      <c r="Y344" s="82"/>
    </row>
    <row r="345" spans="2:25">
      <c r="B345" s="95"/>
      <c r="C345" s="95"/>
      <c r="D345" s="96"/>
      <c r="E345" s="95"/>
      <c r="F345" s="95"/>
      <c r="G345" s="96"/>
      <c r="H345" s="95"/>
      <c r="I345" s="95"/>
      <c r="J345" s="96"/>
      <c r="K345" s="95"/>
      <c r="L345" s="95"/>
      <c r="M345" s="89"/>
      <c r="O345" s="82"/>
      <c r="P345" s="82"/>
      <c r="Q345" s="83"/>
      <c r="R345" s="82"/>
      <c r="S345" s="82"/>
      <c r="T345" s="83"/>
      <c r="U345" s="82"/>
      <c r="V345" s="82"/>
      <c r="W345" s="83"/>
      <c r="X345" s="82"/>
      <c r="Y345" s="82"/>
    </row>
    <row r="346" spans="2:25">
      <c r="B346" s="95"/>
      <c r="C346" s="95"/>
      <c r="D346" s="96"/>
      <c r="E346" s="95"/>
      <c r="F346" s="95"/>
      <c r="G346" s="96"/>
      <c r="H346" s="95"/>
      <c r="I346" s="95"/>
      <c r="J346" s="96"/>
      <c r="K346" s="95"/>
      <c r="L346" s="95"/>
      <c r="M346" s="89"/>
      <c r="O346" s="82"/>
      <c r="P346" s="82"/>
      <c r="Q346" s="83"/>
      <c r="R346" s="82"/>
      <c r="S346" s="82"/>
      <c r="T346" s="83"/>
      <c r="U346" s="82"/>
      <c r="V346" s="82"/>
      <c r="W346" s="83"/>
      <c r="X346" s="82"/>
      <c r="Y346" s="82"/>
    </row>
    <row r="347" spans="2:25">
      <c r="B347" s="95"/>
      <c r="C347" s="95"/>
      <c r="D347" s="96"/>
      <c r="E347" s="95"/>
      <c r="F347" s="95"/>
      <c r="G347" s="96"/>
      <c r="H347" s="95"/>
      <c r="I347" s="95"/>
      <c r="J347" s="96"/>
      <c r="K347" s="95"/>
      <c r="L347" s="95"/>
      <c r="M347" s="89"/>
      <c r="O347" s="82"/>
      <c r="P347" s="82"/>
      <c r="Q347" s="83"/>
      <c r="R347" s="82"/>
      <c r="S347" s="82"/>
      <c r="T347" s="83"/>
      <c r="U347" s="82"/>
      <c r="V347" s="82"/>
      <c r="W347" s="83"/>
      <c r="X347" s="82"/>
      <c r="Y347" s="82"/>
    </row>
    <row r="348" spans="2:25">
      <c r="B348" s="95"/>
      <c r="C348" s="95"/>
      <c r="D348" s="96"/>
      <c r="E348" s="95"/>
      <c r="F348" s="95"/>
      <c r="G348" s="96"/>
      <c r="H348" s="95"/>
      <c r="I348" s="95"/>
      <c r="J348" s="96"/>
      <c r="K348" s="95"/>
      <c r="L348" s="95"/>
      <c r="M348" s="89"/>
      <c r="O348" s="82"/>
      <c r="P348" s="82"/>
      <c r="Q348" s="83"/>
      <c r="R348" s="82"/>
      <c r="S348" s="82"/>
      <c r="T348" s="83"/>
      <c r="U348" s="82"/>
      <c r="V348" s="82"/>
      <c r="W348" s="83"/>
      <c r="X348" s="82"/>
      <c r="Y348" s="82"/>
    </row>
    <row r="349" spans="2:25">
      <c r="B349" s="95"/>
      <c r="C349" s="95"/>
      <c r="D349" s="96"/>
      <c r="E349" s="95"/>
      <c r="F349" s="95"/>
      <c r="G349" s="96"/>
      <c r="H349" s="95"/>
      <c r="I349" s="95"/>
      <c r="J349" s="96"/>
      <c r="K349" s="95"/>
      <c r="L349" s="95"/>
      <c r="M349" s="89"/>
      <c r="O349" s="82"/>
      <c r="P349" s="82"/>
      <c r="Q349" s="83"/>
      <c r="R349" s="82"/>
      <c r="S349" s="82"/>
      <c r="T349" s="83"/>
      <c r="U349" s="82"/>
      <c r="V349" s="82"/>
      <c r="W349" s="83"/>
      <c r="X349" s="82"/>
      <c r="Y349" s="82"/>
    </row>
    <row r="350" spans="2:25">
      <c r="B350" s="95"/>
      <c r="C350" s="95"/>
      <c r="D350" s="96"/>
      <c r="E350" s="95"/>
      <c r="F350" s="95"/>
      <c r="G350" s="96"/>
      <c r="H350" s="95"/>
      <c r="I350" s="95"/>
      <c r="J350" s="96"/>
      <c r="K350" s="95"/>
      <c r="L350" s="95"/>
      <c r="M350" s="89"/>
      <c r="O350" s="82"/>
      <c r="P350" s="82"/>
      <c r="Q350" s="83"/>
      <c r="R350" s="82"/>
      <c r="S350" s="82"/>
      <c r="T350" s="83"/>
      <c r="U350" s="82"/>
      <c r="V350" s="82"/>
      <c r="W350" s="83"/>
      <c r="X350" s="82"/>
      <c r="Y350" s="82"/>
    </row>
    <row r="351" spans="2:25">
      <c r="B351" s="95"/>
      <c r="C351" s="95"/>
      <c r="D351" s="96"/>
      <c r="E351" s="95"/>
      <c r="F351" s="95"/>
      <c r="G351" s="96"/>
      <c r="H351" s="95"/>
      <c r="I351" s="95"/>
      <c r="J351" s="96"/>
      <c r="K351" s="95"/>
      <c r="L351" s="95"/>
      <c r="M351" s="89"/>
      <c r="O351" s="82"/>
      <c r="P351" s="82"/>
      <c r="Q351" s="83"/>
      <c r="R351" s="82"/>
      <c r="S351" s="82"/>
      <c r="T351" s="83"/>
      <c r="U351" s="82"/>
      <c r="V351" s="82"/>
      <c r="W351" s="83"/>
      <c r="X351" s="82"/>
      <c r="Y351" s="82"/>
    </row>
    <row r="352" spans="2:25">
      <c r="B352" s="95"/>
      <c r="C352" s="95"/>
      <c r="D352" s="96"/>
      <c r="E352" s="95"/>
      <c r="F352" s="95"/>
      <c r="G352" s="96"/>
      <c r="H352" s="95"/>
      <c r="I352" s="95"/>
      <c r="J352" s="96"/>
      <c r="K352" s="95"/>
      <c r="L352" s="95"/>
      <c r="M352" s="89"/>
      <c r="O352" s="82"/>
      <c r="P352" s="82"/>
      <c r="Q352" s="83"/>
      <c r="R352" s="82"/>
      <c r="S352" s="82"/>
      <c r="T352" s="83"/>
      <c r="U352" s="82"/>
      <c r="V352" s="82"/>
      <c r="W352" s="83"/>
      <c r="X352" s="82"/>
      <c r="Y352" s="82"/>
    </row>
    <row r="353" spans="2:25">
      <c r="B353" s="95"/>
      <c r="C353" s="95"/>
      <c r="D353" s="96"/>
      <c r="E353" s="95"/>
      <c r="F353" s="95"/>
      <c r="G353" s="96"/>
      <c r="H353" s="95"/>
      <c r="I353" s="95"/>
      <c r="J353" s="96"/>
      <c r="K353" s="95"/>
      <c r="L353" s="95"/>
      <c r="M353" s="89"/>
      <c r="O353" s="82"/>
      <c r="P353" s="82"/>
      <c r="Q353" s="83"/>
      <c r="R353" s="82"/>
      <c r="S353" s="82"/>
      <c r="T353" s="83"/>
      <c r="U353" s="82"/>
      <c r="V353" s="82"/>
      <c r="W353" s="83"/>
      <c r="X353" s="82"/>
      <c r="Y353" s="82"/>
    </row>
    <row r="354" spans="2:25">
      <c r="B354" s="95"/>
      <c r="C354" s="95"/>
      <c r="D354" s="96"/>
      <c r="E354" s="95"/>
      <c r="F354" s="95"/>
      <c r="G354" s="96"/>
      <c r="H354" s="95"/>
      <c r="I354" s="95"/>
      <c r="J354" s="96"/>
      <c r="K354" s="95"/>
      <c r="L354" s="95"/>
      <c r="M354" s="89"/>
      <c r="O354" s="82"/>
      <c r="P354" s="82"/>
      <c r="Q354" s="83"/>
      <c r="R354" s="82"/>
      <c r="S354" s="82"/>
      <c r="T354" s="83"/>
      <c r="U354" s="82"/>
      <c r="V354" s="82"/>
      <c r="W354" s="83"/>
      <c r="X354" s="82"/>
      <c r="Y354" s="82"/>
    </row>
    <row r="355" spans="2:25">
      <c r="B355" s="95"/>
      <c r="C355" s="95"/>
      <c r="D355" s="96"/>
      <c r="E355" s="95"/>
      <c r="F355" s="95"/>
      <c r="G355" s="96"/>
      <c r="H355" s="95"/>
      <c r="I355" s="95"/>
      <c r="J355" s="96"/>
      <c r="K355" s="95"/>
      <c r="L355" s="95"/>
      <c r="M355" s="89"/>
      <c r="O355" s="82"/>
      <c r="P355" s="82"/>
      <c r="Q355" s="83"/>
      <c r="R355" s="82"/>
      <c r="S355" s="82"/>
      <c r="T355" s="83"/>
      <c r="U355" s="82"/>
      <c r="V355" s="82"/>
      <c r="W355" s="83"/>
      <c r="X355" s="82"/>
      <c r="Y355" s="82"/>
    </row>
    <row r="356" spans="2:25">
      <c r="B356" s="95"/>
      <c r="C356" s="95"/>
      <c r="D356" s="96"/>
      <c r="E356" s="95"/>
      <c r="F356" s="95"/>
      <c r="G356" s="96"/>
      <c r="H356" s="95"/>
      <c r="I356" s="95"/>
      <c r="J356" s="96"/>
      <c r="K356" s="95"/>
      <c r="L356" s="95"/>
      <c r="M356" s="89"/>
      <c r="O356" s="82"/>
      <c r="P356" s="82"/>
      <c r="Q356" s="83"/>
      <c r="R356" s="82"/>
      <c r="S356" s="82"/>
      <c r="T356" s="83"/>
      <c r="U356" s="82"/>
      <c r="V356" s="82"/>
      <c r="W356" s="83"/>
      <c r="X356" s="82"/>
      <c r="Y356" s="82"/>
    </row>
    <row r="357" spans="2:25">
      <c r="B357" s="95"/>
      <c r="C357" s="95"/>
      <c r="D357" s="96"/>
      <c r="E357" s="95"/>
      <c r="F357" s="95"/>
      <c r="G357" s="96"/>
      <c r="H357" s="95"/>
      <c r="I357" s="95"/>
      <c r="J357" s="96"/>
      <c r="K357" s="95"/>
      <c r="L357" s="95"/>
      <c r="M357" s="89"/>
      <c r="O357" s="82"/>
      <c r="P357" s="82"/>
      <c r="Q357" s="83"/>
      <c r="R357" s="82"/>
      <c r="S357" s="82"/>
      <c r="T357" s="83"/>
      <c r="U357" s="82"/>
      <c r="V357" s="82"/>
      <c r="W357" s="83"/>
      <c r="X357" s="82"/>
      <c r="Y357" s="82"/>
    </row>
    <row r="358" spans="2:25">
      <c r="B358" s="95"/>
      <c r="C358" s="95"/>
      <c r="D358" s="96"/>
      <c r="E358" s="95"/>
      <c r="F358" s="95"/>
      <c r="G358" s="96"/>
      <c r="H358" s="95"/>
      <c r="I358" s="95"/>
      <c r="J358" s="96"/>
      <c r="K358" s="95"/>
      <c r="L358" s="95"/>
      <c r="M358" s="89"/>
      <c r="O358" s="82"/>
      <c r="P358" s="82"/>
      <c r="Q358" s="83"/>
      <c r="R358" s="82"/>
      <c r="S358" s="82"/>
      <c r="T358" s="83"/>
      <c r="U358" s="82"/>
      <c r="V358" s="82"/>
      <c r="W358" s="83"/>
      <c r="X358" s="82"/>
      <c r="Y358" s="82"/>
    </row>
    <row r="359" spans="2:25">
      <c r="B359" s="95"/>
      <c r="C359" s="95"/>
      <c r="D359" s="96"/>
      <c r="E359" s="95"/>
      <c r="F359" s="95"/>
      <c r="G359" s="96"/>
      <c r="H359" s="95"/>
      <c r="I359" s="95"/>
      <c r="J359" s="96"/>
      <c r="K359" s="95"/>
      <c r="L359" s="95"/>
      <c r="M359" s="89"/>
      <c r="O359" s="82"/>
      <c r="P359" s="82"/>
      <c r="Q359" s="83"/>
      <c r="R359" s="82"/>
      <c r="S359" s="82"/>
      <c r="T359" s="83"/>
      <c r="U359" s="82"/>
      <c r="V359" s="82"/>
      <c r="W359" s="83"/>
      <c r="X359" s="82"/>
      <c r="Y359" s="82"/>
    </row>
    <row r="360" spans="2:25">
      <c r="B360" s="95"/>
      <c r="C360" s="95"/>
      <c r="D360" s="96"/>
      <c r="E360" s="95"/>
      <c r="F360" s="95"/>
      <c r="G360" s="96"/>
      <c r="H360" s="95"/>
      <c r="I360" s="95"/>
      <c r="J360" s="96"/>
      <c r="K360" s="95"/>
      <c r="L360" s="95"/>
      <c r="M360" s="89"/>
      <c r="O360" s="82"/>
      <c r="P360" s="82"/>
      <c r="Q360" s="83"/>
      <c r="R360" s="82"/>
      <c r="S360" s="82"/>
      <c r="T360" s="83"/>
      <c r="U360" s="82"/>
      <c r="V360" s="82"/>
      <c r="W360" s="83"/>
      <c r="X360" s="82"/>
      <c r="Y360" s="82"/>
    </row>
    <row r="361" spans="2:25">
      <c r="B361" s="95"/>
      <c r="C361" s="95"/>
      <c r="D361" s="96"/>
      <c r="E361" s="95"/>
      <c r="F361" s="95"/>
      <c r="G361" s="96"/>
      <c r="H361" s="95"/>
      <c r="I361" s="95"/>
      <c r="J361" s="96"/>
      <c r="K361" s="95"/>
      <c r="L361" s="95"/>
      <c r="M361" s="89"/>
      <c r="O361" s="82"/>
      <c r="P361" s="82"/>
      <c r="Q361" s="83"/>
      <c r="R361" s="82"/>
      <c r="S361" s="82"/>
      <c r="T361" s="83"/>
      <c r="U361" s="82"/>
      <c r="V361" s="82"/>
      <c r="W361" s="83"/>
      <c r="X361" s="82"/>
      <c r="Y361" s="82"/>
    </row>
    <row r="362" spans="2:25">
      <c r="B362" s="95"/>
      <c r="C362" s="95"/>
      <c r="D362" s="96"/>
      <c r="E362" s="95"/>
      <c r="F362" s="95"/>
      <c r="G362" s="96"/>
      <c r="H362" s="95"/>
      <c r="I362" s="95"/>
      <c r="J362" s="96"/>
      <c r="K362" s="95"/>
      <c r="L362" s="95"/>
      <c r="M362" s="89"/>
      <c r="O362" s="82"/>
      <c r="P362" s="82"/>
      <c r="Q362" s="83"/>
      <c r="R362" s="82"/>
      <c r="S362" s="82"/>
      <c r="T362" s="83"/>
      <c r="U362" s="82"/>
      <c r="V362" s="82"/>
      <c r="W362" s="83"/>
      <c r="X362" s="82"/>
      <c r="Y362" s="82"/>
    </row>
    <row r="363" spans="2:25">
      <c r="B363" s="95"/>
      <c r="C363" s="95"/>
      <c r="D363" s="96"/>
      <c r="E363" s="95"/>
      <c r="F363" s="95"/>
      <c r="G363" s="96"/>
      <c r="H363" s="95"/>
      <c r="I363" s="95"/>
      <c r="J363" s="96"/>
      <c r="K363" s="95"/>
      <c r="L363" s="95"/>
      <c r="M363" s="89"/>
      <c r="O363" s="82"/>
      <c r="P363" s="82"/>
      <c r="Q363" s="83"/>
      <c r="R363" s="82"/>
      <c r="S363" s="82"/>
      <c r="T363" s="83"/>
      <c r="U363" s="82"/>
      <c r="V363" s="82"/>
      <c r="W363" s="83"/>
      <c r="X363" s="82"/>
      <c r="Y363" s="82"/>
    </row>
    <row r="364" spans="2:25">
      <c r="B364" s="95"/>
      <c r="C364" s="95"/>
      <c r="D364" s="96"/>
      <c r="E364" s="95"/>
      <c r="F364" s="95"/>
      <c r="G364" s="96"/>
      <c r="H364" s="95"/>
      <c r="I364" s="95"/>
      <c r="J364" s="96"/>
      <c r="K364" s="95"/>
      <c r="L364" s="95"/>
      <c r="M364" s="89"/>
      <c r="O364" s="82"/>
      <c r="P364" s="82"/>
      <c r="Q364" s="83"/>
      <c r="R364" s="82"/>
      <c r="S364" s="82"/>
      <c r="T364" s="83"/>
      <c r="U364" s="82"/>
      <c r="V364" s="82"/>
      <c r="W364" s="83"/>
      <c r="X364" s="82"/>
      <c r="Y364" s="82"/>
    </row>
    <row r="365" spans="2:25">
      <c r="B365" s="95"/>
      <c r="C365" s="95"/>
      <c r="D365" s="96"/>
      <c r="E365" s="95"/>
      <c r="F365" s="95"/>
      <c r="G365" s="96"/>
      <c r="H365" s="95"/>
      <c r="I365" s="95"/>
      <c r="J365" s="96"/>
      <c r="K365" s="95"/>
      <c r="L365" s="95"/>
      <c r="M365" s="89"/>
      <c r="O365" s="82"/>
      <c r="P365" s="82"/>
      <c r="Q365" s="83"/>
      <c r="R365" s="82"/>
      <c r="S365" s="82"/>
      <c r="T365" s="83"/>
      <c r="U365" s="82"/>
      <c r="V365" s="82"/>
      <c r="W365" s="83"/>
      <c r="X365" s="82"/>
      <c r="Y365" s="82"/>
    </row>
    <row r="366" spans="2:25">
      <c r="B366" s="78"/>
      <c r="C366" s="78"/>
      <c r="D366" s="78"/>
      <c r="E366" s="78"/>
      <c r="F366" s="78"/>
      <c r="G366" s="78"/>
      <c r="H366" s="78"/>
      <c r="I366" s="78"/>
      <c r="J366" s="78"/>
      <c r="K366" s="78"/>
      <c r="L366" s="78"/>
    </row>
  </sheetData>
  <mergeCells count="18">
    <mergeCell ref="O75:P75"/>
    <mergeCell ref="R75:S75"/>
    <mergeCell ref="U75:V75"/>
    <mergeCell ref="X75:Y75"/>
    <mergeCell ref="B75:C75"/>
    <mergeCell ref="E75:F75"/>
    <mergeCell ref="H75:I75"/>
    <mergeCell ref="K75:L75"/>
    <mergeCell ref="K56:L56"/>
    <mergeCell ref="I56:J56"/>
    <mergeCell ref="F56:G56"/>
    <mergeCell ref="D56:E56"/>
    <mergeCell ref="B4:M5"/>
    <mergeCell ref="Q57:R57"/>
    <mergeCell ref="S57:T57"/>
    <mergeCell ref="U57:V57"/>
    <mergeCell ref="W57:X57"/>
    <mergeCell ref="O4:Y5"/>
  </mergeCells>
  <pageMargins left="0.7" right="0.7" top="0.78740157500000008" bottom="0.78740157500000008" header="0.3" footer="0.3"/>
  <pageSetup paperSize="9" scale="28"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171BA-3A1D-4314-B890-70F168CCF39F}">
  <sheetPr codeName="Tabelle17">
    <pageSetUpPr fitToPage="1"/>
  </sheetPr>
  <dimension ref="A1:I39"/>
  <sheetViews>
    <sheetView showGridLines="0" zoomScale="80" zoomScaleNormal="80" workbookViewId="0">
      <pane ySplit="2" topLeftCell="A3" activePane="bottomLeft" state="frozen"/>
      <selection activeCell="A4" sqref="A4:C4"/>
      <selection pane="bottomLeft" activeCell="J7" sqref="J7"/>
    </sheetView>
  </sheetViews>
  <sheetFormatPr baseColWidth="10" defaultColWidth="11.36328125" defaultRowHeight="14.5"/>
  <cols>
    <col min="1" max="1" width="11.36328125" style="566"/>
    <col min="2" max="2" width="51" style="566" bestFit="1" customWidth="1"/>
    <col min="3" max="4" width="11.36328125" style="561"/>
    <col min="5" max="5" width="31.36328125" style="562" customWidth="1"/>
    <col min="6" max="6" width="11.36328125" style="562"/>
    <col min="7" max="7" width="65.7265625" style="563" customWidth="1"/>
    <col min="8" max="8" width="2.7265625" style="563" customWidth="1"/>
    <col min="9" max="16384" width="11.36328125" style="563"/>
  </cols>
  <sheetData>
    <row r="1" spans="1:8" ht="24.75" customHeight="1">
      <c r="A1" s="1539" t="s">
        <v>708</v>
      </c>
      <c r="B1" s="1540"/>
      <c r="C1" s="1540"/>
      <c r="H1" s="564"/>
    </row>
    <row r="2" spans="1:8" ht="16.5" customHeight="1">
      <c r="A2" s="561"/>
      <c r="B2" s="561"/>
      <c r="C2" s="560"/>
      <c r="H2" s="564"/>
    </row>
    <row r="3" spans="1:8" ht="15" thickBot="1">
      <c r="A3" s="565"/>
      <c r="E3" s="567"/>
      <c r="F3" s="567"/>
      <c r="G3" s="568"/>
      <c r="H3" s="564"/>
    </row>
    <row r="4" spans="1:8" ht="42.5">
      <c r="A4" s="1541" t="s">
        <v>714</v>
      </c>
      <c r="B4" s="1542"/>
      <c r="C4" s="1543"/>
      <c r="D4" s="569"/>
      <c r="E4" s="570" t="s">
        <v>499</v>
      </c>
      <c r="F4" s="571"/>
      <c r="G4" s="895" t="s">
        <v>500</v>
      </c>
      <c r="H4" s="564"/>
    </row>
    <row r="5" spans="1:8">
      <c r="A5" s="1544" t="s">
        <v>501</v>
      </c>
      <c r="B5" s="1545"/>
      <c r="C5" s="581">
        <v>0</v>
      </c>
      <c r="D5" s="582"/>
      <c r="E5" s="583"/>
      <c r="F5" s="584"/>
      <c r="G5" s="585"/>
      <c r="H5" s="564"/>
    </row>
    <row r="6" spans="1:8">
      <c r="A6" s="586"/>
      <c r="B6" s="711" t="s">
        <v>782</v>
      </c>
      <c r="C6" s="588"/>
      <c r="D6" s="581">
        <v>0</v>
      </c>
      <c r="E6" s="589"/>
      <c r="F6" s="607">
        <f t="shared" ref="F6:F9" si="0">E6*D6*$C$5</f>
        <v>0</v>
      </c>
      <c r="G6" s="590"/>
      <c r="H6" s="564"/>
    </row>
    <row r="7" spans="1:8">
      <c r="A7" s="591"/>
      <c r="B7" s="711" t="s">
        <v>502</v>
      </c>
      <c r="C7" s="592"/>
      <c r="D7" s="581"/>
      <c r="E7" s="589"/>
      <c r="F7" s="607">
        <f t="shared" si="0"/>
        <v>0</v>
      </c>
      <c r="G7" s="590"/>
      <c r="H7" s="564"/>
    </row>
    <row r="8" spans="1:8">
      <c r="A8" s="591"/>
      <c r="B8" s="587" t="s">
        <v>503</v>
      </c>
      <c r="C8" s="592"/>
      <c r="D8" s="581"/>
      <c r="E8" s="589"/>
      <c r="F8" s="607">
        <f t="shared" si="0"/>
        <v>0</v>
      </c>
      <c r="G8" s="590"/>
      <c r="H8" s="564"/>
    </row>
    <row r="9" spans="1:8">
      <c r="A9" s="593"/>
      <c r="B9" s="587" t="s">
        <v>290</v>
      </c>
      <c r="C9" s="594"/>
      <c r="D9" s="581"/>
      <c r="E9" s="589"/>
      <c r="F9" s="607">
        <f t="shared" si="0"/>
        <v>0</v>
      </c>
      <c r="G9" s="590"/>
      <c r="H9" s="564"/>
    </row>
    <row r="10" spans="1:8">
      <c r="A10" s="1546" t="s">
        <v>504</v>
      </c>
      <c r="B10" s="1545"/>
      <c r="C10" s="595"/>
      <c r="D10" s="596"/>
      <c r="E10" s="597"/>
      <c r="F10" s="608"/>
      <c r="G10" s="590"/>
      <c r="H10" s="564"/>
    </row>
    <row r="11" spans="1:8">
      <c r="A11" s="598"/>
      <c r="B11" s="599" t="s">
        <v>505</v>
      </c>
      <c r="C11" s="588"/>
      <c r="D11" s="581"/>
      <c r="E11" s="589"/>
      <c r="F11" s="607">
        <f t="shared" ref="F11:F15" si="1">E11*D11*$C$10</f>
        <v>0</v>
      </c>
      <c r="G11" s="590"/>
      <c r="H11" s="564"/>
    </row>
    <row r="12" spans="1:8">
      <c r="A12" s="600"/>
      <c r="B12" s="710" t="s">
        <v>506</v>
      </c>
      <c r="C12" s="592"/>
      <c r="D12" s="581"/>
      <c r="E12" s="589"/>
      <c r="F12" s="607">
        <f t="shared" si="1"/>
        <v>0</v>
      </c>
      <c r="G12" s="590"/>
      <c r="H12" s="564"/>
    </row>
    <row r="13" spans="1:8">
      <c r="A13" s="600"/>
      <c r="B13" s="599" t="s">
        <v>507</v>
      </c>
      <c r="C13" s="592"/>
      <c r="D13" s="581"/>
      <c r="E13" s="589"/>
      <c r="F13" s="607">
        <f t="shared" si="1"/>
        <v>0</v>
      </c>
      <c r="G13" s="590"/>
      <c r="H13" s="564"/>
    </row>
    <row r="14" spans="1:8">
      <c r="A14" s="600"/>
      <c r="B14" s="710" t="s">
        <v>508</v>
      </c>
      <c r="C14" s="592"/>
      <c r="D14" s="581"/>
      <c r="E14" s="589"/>
      <c r="F14" s="607">
        <f t="shared" si="1"/>
        <v>0</v>
      </c>
      <c r="G14" s="590"/>
      <c r="H14" s="564"/>
    </row>
    <row r="15" spans="1:8">
      <c r="A15" s="601"/>
      <c r="B15" s="599" t="s">
        <v>509</v>
      </c>
      <c r="C15" s="594"/>
      <c r="D15" s="581"/>
      <c r="E15" s="589"/>
      <c r="F15" s="607">
        <f t="shared" si="1"/>
        <v>0</v>
      </c>
      <c r="G15" s="602"/>
      <c r="H15" s="564"/>
    </row>
    <row r="16" spans="1:8">
      <c r="A16" s="1546" t="s">
        <v>510</v>
      </c>
      <c r="B16" s="1545"/>
      <c r="C16" s="603"/>
      <c r="D16" s="604"/>
      <c r="E16" s="597"/>
      <c r="F16" s="608"/>
      <c r="G16" s="602"/>
      <c r="H16" s="564"/>
    </row>
    <row r="17" spans="1:8">
      <c r="A17" s="598"/>
      <c r="B17" s="599" t="s">
        <v>511</v>
      </c>
      <c r="C17" s="588"/>
      <c r="D17" s="581"/>
      <c r="E17" s="589"/>
      <c r="F17" s="607">
        <f t="shared" ref="F17:F34" si="2">E17*D17*$C$16</f>
        <v>0</v>
      </c>
      <c r="G17" s="602"/>
      <c r="H17" s="564"/>
    </row>
    <row r="18" spans="1:8">
      <c r="A18" s="600"/>
      <c r="B18" s="599" t="s">
        <v>512</v>
      </c>
      <c r="C18" s="592"/>
      <c r="D18" s="581"/>
      <c r="E18" s="589"/>
      <c r="F18" s="607">
        <f t="shared" si="2"/>
        <v>0</v>
      </c>
      <c r="G18" s="602"/>
      <c r="H18" s="564"/>
    </row>
    <row r="19" spans="1:8">
      <c r="A19" s="600"/>
      <c r="B19" s="587" t="s">
        <v>513</v>
      </c>
      <c r="C19" s="592"/>
      <c r="D19" s="605"/>
      <c r="E19" s="589"/>
      <c r="F19" s="607">
        <f t="shared" si="2"/>
        <v>0</v>
      </c>
      <c r="G19" s="602"/>
      <c r="H19" s="564"/>
    </row>
    <row r="20" spans="1:8">
      <c r="A20" s="600"/>
      <c r="B20" s="606" t="s">
        <v>514</v>
      </c>
      <c r="C20" s="592"/>
      <c r="D20" s="605"/>
      <c r="E20" s="589"/>
      <c r="F20" s="607">
        <f t="shared" si="2"/>
        <v>0</v>
      </c>
      <c r="G20" s="602"/>
      <c r="H20" s="564"/>
    </row>
    <row r="21" spans="1:8">
      <c r="A21" s="600"/>
      <c r="B21" s="606" t="s">
        <v>515</v>
      </c>
      <c r="C21" s="592"/>
      <c r="D21" s="605"/>
      <c r="E21" s="589"/>
      <c r="F21" s="607">
        <f t="shared" si="2"/>
        <v>0</v>
      </c>
      <c r="G21" s="602"/>
      <c r="H21" s="564"/>
    </row>
    <row r="22" spans="1:8">
      <c r="A22" s="600"/>
      <c r="B22" s="606" t="s">
        <v>516</v>
      </c>
      <c r="C22" s="592"/>
      <c r="D22" s="605"/>
      <c r="E22" s="589"/>
      <c r="F22" s="607">
        <f t="shared" si="2"/>
        <v>0</v>
      </c>
      <c r="G22" s="602"/>
      <c r="H22" s="564"/>
    </row>
    <row r="23" spans="1:8">
      <c r="A23" s="600"/>
      <c r="B23" s="606" t="s">
        <v>517</v>
      </c>
      <c r="C23" s="592"/>
      <c r="D23" s="605"/>
      <c r="E23" s="589"/>
      <c r="F23" s="607">
        <f t="shared" si="2"/>
        <v>0</v>
      </c>
      <c r="G23" s="602"/>
      <c r="H23" s="564"/>
    </row>
    <row r="24" spans="1:8">
      <c r="A24" s="600"/>
      <c r="B24" s="606" t="s">
        <v>518</v>
      </c>
      <c r="C24" s="592"/>
      <c r="D24" s="605"/>
      <c r="E24" s="589"/>
      <c r="F24" s="607">
        <f t="shared" si="2"/>
        <v>0</v>
      </c>
      <c r="G24" s="602"/>
      <c r="H24" s="564"/>
    </row>
    <row r="25" spans="1:8">
      <c r="A25" s="600"/>
      <c r="B25" s="606" t="s">
        <v>519</v>
      </c>
      <c r="C25" s="592"/>
      <c r="D25" s="605"/>
      <c r="E25" s="589"/>
      <c r="F25" s="607">
        <f t="shared" si="2"/>
        <v>0</v>
      </c>
      <c r="G25" s="602"/>
      <c r="H25" s="564"/>
    </row>
    <row r="26" spans="1:8">
      <c r="A26" s="600"/>
      <c r="B26" s="606" t="s">
        <v>520</v>
      </c>
      <c r="C26" s="592"/>
      <c r="D26" s="605"/>
      <c r="E26" s="589"/>
      <c r="F26" s="607">
        <f t="shared" si="2"/>
        <v>0</v>
      </c>
      <c r="G26" s="602"/>
      <c r="H26" s="564"/>
    </row>
    <row r="27" spans="1:8">
      <c r="A27" s="600"/>
      <c r="B27" s="606" t="s">
        <v>521</v>
      </c>
      <c r="C27" s="592"/>
      <c r="D27" s="605"/>
      <c r="E27" s="589"/>
      <c r="F27" s="607">
        <f t="shared" si="2"/>
        <v>0</v>
      </c>
      <c r="G27" s="602"/>
      <c r="H27" s="564"/>
    </row>
    <row r="28" spans="1:8">
      <c r="A28" s="600"/>
      <c r="B28" s="606" t="s">
        <v>522</v>
      </c>
      <c r="C28" s="592"/>
      <c r="D28" s="605"/>
      <c r="E28" s="589"/>
      <c r="F28" s="607">
        <f t="shared" si="2"/>
        <v>0</v>
      </c>
      <c r="G28" s="602"/>
      <c r="H28" s="564"/>
    </row>
    <row r="29" spans="1:8">
      <c r="A29" s="600"/>
      <c r="B29" s="606" t="s">
        <v>523</v>
      </c>
      <c r="C29" s="592"/>
      <c r="D29" s="605"/>
      <c r="E29" s="589"/>
      <c r="F29" s="607">
        <f t="shared" si="2"/>
        <v>0</v>
      </c>
      <c r="G29" s="602"/>
      <c r="H29" s="564"/>
    </row>
    <row r="30" spans="1:8">
      <c r="A30" s="600"/>
      <c r="B30" s="606" t="s">
        <v>524</v>
      </c>
      <c r="C30" s="592"/>
      <c r="D30" s="605"/>
      <c r="E30" s="589"/>
      <c r="F30" s="607">
        <f t="shared" si="2"/>
        <v>0</v>
      </c>
      <c r="G30" s="602"/>
      <c r="H30" s="564"/>
    </row>
    <row r="31" spans="1:8">
      <c r="A31" s="600"/>
      <c r="B31" s="606" t="s">
        <v>525</v>
      </c>
      <c r="C31" s="592"/>
      <c r="D31" s="605"/>
      <c r="E31" s="589"/>
      <c r="F31" s="607">
        <f t="shared" si="2"/>
        <v>0</v>
      </c>
      <c r="G31" s="602"/>
      <c r="H31" s="564"/>
    </row>
    <row r="32" spans="1:8">
      <c r="A32" s="600"/>
      <c r="B32" s="606" t="s">
        <v>526</v>
      </c>
      <c r="C32" s="592"/>
      <c r="D32" s="605"/>
      <c r="E32" s="589"/>
      <c r="F32" s="607">
        <f t="shared" si="2"/>
        <v>0</v>
      </c>
      <c r="G32" s="602"/>
      <c r="H32" s="564"/>
    </row>
    <row r="33" spans="1:9">
      <c r="A33" s="600"/>
      <c r="B33" s="606" t="s">
        <v>527</v>
      </c>
      <c r="C33" s="592"/>
      <c r="D33" s="605"/>
      <c r="E33" s="589"/>
      <c r="F33" s="607">
        <f t="shared" si="2"/>
        <v>0</v>
      </c>
      <c r="G33" s="602"/>
      <c r="H33" s="564"/>
    </row>
    <row r="34" spans="1:9">
      <c r="A34" s="601"/>
      <c r="B34" s="599" t="s">
        <v>528</v>
      </c>
      <c r="C34" s="594"/>
      <c r="D34" s="581"/>
      <c r="E34" s="589"/>
      <c r="F34" s="607">
        <f t="shared" si="2"/>
        <v>0</v>
      </c>
      <c r="G34" s="602"/>
      <c r="H34" s="564"/>
    </row>
    <row r="35" spans="1:9">
      <c r="A35" s="1544" t="s">
        <v>529</v>
      </c>
      <c r="B35" s="1545"/>
      <c r="C35" s="595"/>
      <c r="D35" s="596"/>
      <c r="E35" s="597"/>
      <c r="F35" s="608"/>
      <c r="G35" s="602"/>
      <c r="H35" s="564"/>
    </row>
    <row r="36" spans="1:9">
      <c r="A36" s="598"/>
      <c r="B36" s="599" t="s">
        <v>530</v>
      </c>
      <c r="C36" s="588"/>
      <c r="D36" s="581"/>
      <c r="E36" s="589"/>
      <c r="F36" s="607">
        <f t="shared" ref="F36:F37" si="3">E36*D36*$C$35</f>
        <v>0</v>
      </c>
      <c r="G36" s="602"/>
      <c r="H36" s="564"/>
    </row>
    <row r="37" spans="1:9">
      <c r="A37" s="601"/>
      <c r="B37" s="710" t="s">
        <v>780</v>
      </c>
      <c r="C37" s="594"/>
      <c r="D37" s="581"/>
      <c r="E37" s="589"/>
      <c r="F37" s="607">
        <f t="shared" si="3"/>
        <v>0</v>
      </c>
      <c r="G37" s="602"/>
      <c r="H37" s="572"/>
    </row>
    <row r="38" spans="1:9" s="575" customFormat="1" ht="25" customHeight="1" thickBot="1">
      <c r="A38" s="1535" t="s">
        <v>122</v>
      </c>
      <c r="B38" s="1536"/>
      <c r="C38" s="579">
        <f>SUM(C5:C37)</f>
        <v>0</v>
      </c>
      <c r="D38" s="1537" t="s">
        <v>531</v>
      </c>
      <c r="E38" s="1538"/>
      <c r="F38" s="580">
        <f>IF((SUM(F6:F37))&lt;=5,ROUND(SUM(F6:F37)*340/5,0),340)</f>
        <v>0</v>
      </c>
      <c r="G38" s="573" t="str">
        <f>IF(F38&lt;380*0.25,"sehr geringer Erfüllungsgrad", IF(F38&lt;380*0.45,"geringer Erfüllungsgrad",IF(F38&lt;380*0.65,"mittlerer Erfüllungsgrad", IF(F38&lt;380*0.85,"hoher Erfüllungsgrad", IF(F38&gt;=380*0.85,"sehr hoher Erfüllungsgrad",)))))</f>
        <v>sehr geringer Erfüllungsgrad</v>
      </c>
      <c r="H38" s="574"/>
    </row>
    <row r="39" spans="1:9" ht="15" thickBot="1">
      <c r="A39" s="565"/>
      <c r="B39" s="565"/>
      <c r="C39" s="576"/>
      <c r="D39" s="576"/>
      <c r="E39" s="567"/>
      <c r="F39" s="567"/>
      <c r="G39" s="577"/>
      <c r="H39" s="577"/>
      <c r="I39" s="578"/>
    </row>
  </sheetData>
  <sheetProtection algorithmName="SHA-512" hashValue="fmYhnY1tWYwv4cuX7tnaIaZtsuTDbhED9GKhMhUK1eD/TYanA4YXdGugA9t+3TlwiDY06LqNDcO6G8C8DviSkg==" saltValue="0rhM1L0hwZEwiztPGh71Hw==" spinCount="100000" sheet="1" selectLockedCells="1" pivotTables="0"/>
  <protectedRanges>
    <protectedRange sqref="D6:E9" name="Bereich1"/>
  </protectedRanges>
  <mergeCells count="8">
    <mergeCell ref="A38:B38"/>
    <mergeCell ref="D38:E38"/>
    <mergeCell ref="A1:C1"/>
    <mergeCell ref="A4:C4"/>
    <mergeCell ref="A5:B5"/>
    <mergeCell ref="A10:B10"/>
    <mergeCell ref="A16:B16"/>
    <mergeCell ref="A35:B35"/>
  </mergeCells>
  <pageMargins left="0.59055118110236238" right="0.59055118110236238" top="0.59055118110236238" bottom="0.59055118110236238" header="0.31496062992125984" footer="0.31496062992125984"/>
  <pageSetup paperSize="9" scale="6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E3225-44FB-44D9-90B9-7D4767D50A2C}">
  <sheetPr>
    <pageSetUpPr fitToPage="1"/>
  </sheetPr>
  <dimension ref="A1:F6"/>
  <sheetViews>
    <sheetView zoomScale="80" zoomScaleNormal="80" workbookViewId="0">
      <selection activeCell="C10" sqref="C10"/>
    </sheetView>
  </sheetViews>
  <sheetFormatPr baseColWidth="10" defaultColWidth="11.36328125" defaultRowHeight="14"/>
  <cols>
    <col min="1" max="1" width="33.26953125" style="732" customWidth="1"/>
    <col min="2" max="2" width="66.6328125" style="732" customWidth="1"/>
    <col min="3" max="3" width="19.6328125" style="732" customWidth="1"/>
    <col min="4" max="4" width="30.7265625" style="733" customWidth="1"/>
    <col min="5" max="5" width="11.36328125" style="732" hidden="1" customWidth="1"/>
    <col min="6" max="6" width="32.7265625" style="732" customWidth="1"/>
    <col min="7" max="16384" width="11.36328125" style="732"/>
  </cols>
  <sheetData>
    <row r="1" spans="1:6" ht="34" customHeight="1">
      <c r="A1" s="1551" t="s">
        <v>709</v>
      </c>
      <c r="B1" s="1551"/>
      <c r="C1" s="1551"/>
      <c r="D1" s="742"/>
    </row>
    <row r="2" spans="1:6" ht="7.5" customHeight="1" thickBot="1">
      <c r="A2" s="99"/>
      <c r="B2" s="160"/>
      <c r="C2" s="100"/>
      <c r="D2" s="295"/>
    </row>
    <row r="3" spans="1:6" ht="31.5" thickBot="1">
      <c r="A3" s="741" t="s">
        <v>161</v>
      </c>
      <c r="B3" s="740" t="s">
        <v>80</v>
      </c>
      <c r="C3" s="739" t="s">
        <v>331</v>
      </c>
      <c r="D3" s="738" t="s">
        <v>162</v>
      </c>
      <c r="E3" s="737">
        <v>0</v>
      </c>
      <c r="F3" s="857" t="s">
        <v>53</v>
      </c>
    </row>
    <row r="4" spans="1:6" ht="30" customHeight="1">
      <c r="A4" s="1549" t="s">
        <v>564</v>
      </c>
      <c r="B4" s="914" t="s">
        <v>567</v>
      </c>
      <c r="C4" s="241">
        <v>5</v>
      </c>
      <c r="D4" s="1552"/>
      <c r="E4" s="737">
        <v>5</v>
      </c>
      <c r="F4" s="1554"/>
    </row>
    <row r="5" spans="1:6" ht="30" customHeight="1" thickBot="1">
      <c r="A5" s="1550"/>
      <c r="B5" s="915" t="s">
        <v>566</v>
      </c>
      <c r="C5" s="916">
        <v>10</v>
      </c>
      <c r="D5" s="1553"/>
      <c r="E5" s="737">
        <v>10</v>
      </c>
      <c r="F5" s="1555"/>
    </row>
    <row r="6" spans="1:6" ht="30.75" customHeight="1" thickBot="1">
      <c r="A6" s="1547" t="s">
        <v>122</v>
      </c>
      <c r="B6" s="1548"/>
      <c r="C6" s="736"/>
      <c r="D6" s="735">
        <f>IF(SUM(D4:D5)&gt;10,10,SUM(D4:D5))</f>
        <v>0</v>
      </c>
      <c r="E6" s="734"/>
      <c r="F6" s="502"/>
    </row>
  </sheetData>
  <sheetProtection algorithmName="SHA-512" hashValue="Ww5QA+kffMzhbr36KVslqtFe1YW2qthnoTl3coLzga5/kUYhNsbOxyvw1+Z5+BkBuBpRmPDuzpJ4iQr/jnfHXw==" saltValue="gYWUJQdOi2emyP8c3uyIqA==" spinCount="100000" sheet="1" autoFilter="0"/>
  <protectedRanges>
    <protectedRange sqref="F4" name="Bereich2"/>
    <protectedRange sqref="D4:D5" name="Bereich1"/>
  </protectedRanges>
  <mergeCells count="5">
    <mergeCell ref="A6:B6"/>
    <mergeCell ref="A4:A5"/>
    <mergeCell ref="A1:C1"/>
    <mergeCell ref="D4:D5"/>
    <mergeCell ref="F4:F5"/>
  </mergeCells>
  <dataValidations count="1">
    <dataValidation type="list" allowBlank="1" showInputMessage="1" showErrorMessage="1" errorTitle="Falscher Wert!" error="Bitte geben Sie die Zahl 0 oder 5 ein." sqref="D4:D5" xr:uid="{00000000-0002-0000-0E00-000000000000}">
      <formula1>$E$3:$E$5</formula1>
    </dataValidation>
  </dataValidations>
  <printOptions horizontalCentered="1"/>
  <pageMargins left="0.59055118110236227" right="0.59055118110236227" top="0.59055118110236227" bottom="0.59055118110236227" header="0.31496062992125984" footer="0.31496062992125984"/>
  <pageSetup paperSize="9" scale="83"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3">
    <pageSetUpPr fitToPage="1"/>
  </sheetPr>
  <dimension ref="A1:O15"/>
  <sheetViews>
    <sheetView zoomScale="80" zoomScaleNormal="80" workbookViewId="0">
      <selection activeCell="K16" sqref="K16"/>
    </sheetView>
  </sheetViews>
  <sheetFormatPr baseColWidth="10" defaultColWidth="11.36328125" defaultRowHeight="12.5"/>
  <cols>
    <col min="1" max="1" width="109.81640625" style="98" customWidth="1"/>
    <col min="2" max="2" width="17.81640625" style="98" customWidth="1"/>
    <col min="3" max="3" width="14.81640625" style="98" customWidth="1"/>
    <col min="4" max="6" width="11.36328125" style="98" hidden="1" customWidth="1"/>
    <col min="7" max="7" width="18.08984375" style="98" hidden="1" customWidth="1"/>
    <col min="8" max="8" width="30.7265625" style="103" customWidth="1"/>
    <col min="9" max="9" width="11.36328125" style="98"/>
    <col min="10" max="10" width="13.81640625" style="98" customWidth="1"/>
    <col min="11" max="11" width="16.36328125" style="98" customWidth="1"/>
    <col min="12" max="13" width="11.36328125" style="98"/>
    <col min="14" max="14" width="17.81640625" style="98" customWidth="1"/>
    <col min="15" max="16384" width="11.36328125" style="98"/>
  </cols>
  <sheetData>
    <row r="1" spans="1:15" s="162" customFormat="1" ht="37" customHeight="1">
      <c r="A1" s="1551" t="s">
        <v>712</v>
      </c>
      <c r="B1" s="1551"/>
      <c r="C1" s="1551"/>
      <c r="D1" s="161"/>
      <c r="E1" s="161"/>
      <c r="F1" s="161"/>
      <c r="G1" s="161"/>
      <c r="H1" s="296"/>
      <c r="J1" s="423" t="s">
        <v>173</v>
      </c>
      <c r="K1" s="98"/>
      <c r="L1" s="98"/>
      <c r="M1" s="98"/>
      <c r="N1" s="98"/>
      <c r="O1" s="98"/>
    </row>
    <row r="2" spans="1:15" s="162" customFormat="1" ht="7.5" customHeight="1" thickBot="1">
      <c r="A2" s="161"/>
      <c r="B2" s="161"/>
      <c r="C2" s="161"/>
      <c r="D2" s="161"/>
      <c r="E2" s="161"/>
      <c r="F2" s="161"/>
      <c r="G2" s="161"/>
      <c r="H2" s="296"/>
      <c r="J2" s="98"/>
      <c r="K2" s="98"/>
      <c r="L2" s="98"/>
      <c r="M2" s="98"/>
      <c r="N2" s="98"/>
      <c r="O2" s="98"/>
    </row>
    <row r="3" spans="1:15" ht="32.25" customHeight="1" thickBot="1">
      <c r="A3" s="754" t="s">
        <v>161</v>
      </c>
      <c r="B3" s="908" t="s">
        <v>741</v>
      </c>
      <c r="C3" s="429" t="s">
        <v>319</v>
      </c>
      <c r="H3" s="896" t="s">
        <v>53</v>
      </c>
      <c r="J3" s="1565" t="s">
        <v>320</v>
      </c>
      <c r="K3" s="1566"/>
      <c r="L3" s="1566"/>
      <c r="M3" s="1567"/>
      <c r="N3" s="896" t="s">
        <v>53</v>
      </c>
    </row>
    <row r="4" spans="1:15" s="101" customFormat="1" ht="30" customHeight="1" thickBot="1">
      <c r="A4" s="910" t="s">
        <v>321</v>
      </c>
      <c r="B4" s="911"/>
      <c r="C4" s="428"/>
      <c r="D4" s="101">
        <v>0</v>
      </c>
      <c r="H4" s="896"/>
      <c r="J4" s="1557" t="s">
        <v>322</v>
      </c>
      <c r="K4" s="1558"/>
      <c r="L4" s="272"/>
      <c r="M4" s="273" t="s">
        <v>323</v>
      </c>
      <c r="N4" s="896"/>
      <c r="O4" s="98"/>
    </row>
    <row r="5" spans="1:15" s="101" customFormat="1" ht="30" customHeight="1">
      <c r="A5" s="909" t="s">
        <v>324</v>
      </c>
      <c r="B5" s="241">
        <v>20</v>
      </c>
      <c r="C5" s="1559"/>
      <c r="D5" s="101">
        <f>B5</f>
        <v>20</v>
      </c>
      <c r="H5" s="896"/>
      <c r="J5" s="1561" t="s">
        <v>325</v>
      </c>
      <c r="K5" s="1562"/>
      <c r="L5" s="251">
        <f>(450/2860)*L4</f>
        <v>0</v>
      </c>
      <c r="M5" s="252" t="s">
        <v>326</v>
      </c>
      <c r="N5" s="896"/>
      <c r="O5" s="98"/>
    </row>
    <row r="6" spans="1:15" s="101" customFormat="1" ht="30" customHeight="1" thickBot="1">
      <c r="A6" s="761" t="s">
        <v>327</v>
      </c>
      <c r="B6" s="912">
        <v>30</v>
      </c>
      <c r="C6" s="1560"/>
      <c r="D6" s="101">
        <f>B6</f>
        <v>30</v>
      </c>
      <c r="H6" s="896"/>
      <c r="I6" s="164"/>
      <c r="J6" s="1563" t="s">
        <v>328</v>
      </c>
      <c r="K6" s="1564"/>
      <c r="L6" s="169">
        <f>L5*0.8</f>
        <v>0</v>
      </c>
      <c r="M6" s="253" t="s">
        <v>326</v>
      </c>
      <c r="N6" s="896"/>
      <c r="O6" s="98"/>
    </row>
    <row r="7" spans="1:15" s="101" customFormat="1" ht="30" customHeight="1" thickBot="1">
      <c r="A7" s="910" t="s">
        <v>625</v>
      </c>
      <c r="B7" s="911"/>
      <c r="C7" s="1560"/>
      <c r="D7" s="101">
        <f>B8</f>
        <v>50</v>
      </c>
      <c r="H7" s="896"/>
      <c r="I7" s="164"/>
      <c r="J7" s="103"/>
      <c r="K7" s="103"/>
      <c r="L7" s="782"/>
      <c r="M7" s="250"/>
      <c r="N7" s="98"/>
      <c r="O7" s="98"/>
    </row>
    <row r="8" spans="1:15" s="101" customFormat="1" ht="30" customHeight="1">
      <c r="A8" s="909" t="s">
        <v>458</v>
      </c>
      <c r="B8" s="241">
        <v>50</v>
      </c>
      <c r="C8" s="1560"/>
      <c r="D8" s="101">
        <f>B9</f>
        <v>65</v>
      </c>
      <c r="H8" s="896"/>
      <c r="I8" s="164"/>
      <c r="J8" s="98"/>
      <c r="K8" s="98"/>
      <c r="L8" s="98"/>
      <c r="M8" s="98"/>
      <c r="N8" s="98"/>
      <c r="O8" s="98"/>
    </row>
    <row r="9" spans="1:15" s="164" customFormat="1" ht="30" customHeight="1" thickBot="1">
      <c r="A9" s="761" t="s">
        <v>459</v>
      </c>
      <c r="B9" s="893">
        <v>65</v>
      </c>
      <c r="C9" s="1560"/>
      <c r="E9" s="101"/>
      <c r="F9" s="101"/>
      <c r="G9" s="101"/>
      <c r="H9" s="896"/>
      <c r="J9" s="98"/>
      <c r="K9" s="98"/>
      <c r="L9" s="98"/>
      <c r="M9" s="98"/>
      <c r="N9" s="98"/>
      <c r="O9" s="98"/>
    </row>
    <row r="10" spans="1:15" s="164" customFormat="1" ht="30" customHeight="1" thickBot="1">
      <c r="A10" s="910" t="s">
        <v>626</v>
      </c>
      <c r="B10" s="911"/>
      <c r="C10" s="858"/>
      <c r="D10" s="101"/>
      <c r="E10" s="101"/>
      <c r="F10" s="101"/>
      <c r="G10" s="101"/>
      <c r="H10" s="896"/>
      <c r="J10" s="98"/>
      <c r="K10" s="98"/>
      <c r="L10" s="98"/>
      <c r="M10" s="98"/>
      <c r="N10" s="98"/>
      <c r="O10" s="98"/>
    </row>
    <row r="11" spans="1:15" s="164" customFormat="1" ht="30" customHeight="1" thickBot="1">
      <c r="A11" s="917" t="s">
        <v>329</v>
      </c>
      <c r="B11" s="893">
        <v>10</v>
      </c>
      <c r="C11" s="254"/>
      <c r="D11" s="101">
        <v>0</v>
      </c>
      <c r="E11" s="101"/>
      <c r="F11" s="101"/>
      <c r="G11" s="101"/>
      <c r="H11" s="896"/>
      <c r="J11" s="98"/>
      <c r="K11" s="98"/>
      <c r="L11" s="98"/>
      <c r="M11" s="98"/>
      <c r="N11" s="98"/>
      <c r="O11" s="98"/>
    </row>
    <row r="12" spans="1:15" ht="25" customHeight="1" thickBot="1">
      <c r="A12" s="918" t="s">
        <v>122</v>
      </c>
      <c r="B12" s="919" t="s">
        <v>330</v>
      </c>
      <c r="C12" s="899">
        <f>C5+C11</f>
        <v>0</v>
      </c>
      <c r="D12" s="164"/>
      <c r="E12" s="164"/>
      <c r="F12" s="164"/>
      <c r="G12" s="98">
        <v>65</v>
      </c>
      <c r="H12" s="289"/>
    </row>
    <row r="13" spans="1:15">
      <c r="G13" s="98">
        <v>75</v>
      </c>
    </row>
    <row r="15" spans="1:15" ht="62.5" customHeight="1">
      <c r="A15" s="1556" t="s">
        <v>460</v>
      </c>
      <c r="B15" s="1556"/>
      <c r="C15" s="1556"/>
    </row>
  </sheetData>
  <sheetProtection sheet="1" pivotTables="0"/>
  <protectedRanges>
    <protectedRange sqref="N4:N6" name="Bereich6"/>
    <protectedRange sqref="H4:H11" name="Bereich5"/>
    <protectedRange sqref="H4 H6:H11 N4 N6" name="Bereich1"/>
    <protectedRange sqref="C5" name="Bereich2"/>
    <protectedRange sqref="C11" name="Bereich3"/>
    <protectedRange sqref="L4" name="Bereich4"/>
  </protectedRanges>
  <mergeCells count="7">
    <mergeCell ref="A15:C15"/>
    <mergeCell ref="A1:C1"/>
    <mergeCell ref="J4:K4"/>
    <mergeCell ref="C5:C9"/>
    <mergeCell ref="J5:K5"/>
    <mergeCell ref="J6:K6"/>
    <mergeCell ref="J3:M3"/>
  </mergeCells>
  <dataValidations count="2">
    <dataValidation type="list" allowBlank="1" showInputMessage="1" showErrorMessage="1" sqref="C11" xr:uid="{00000000-0002-0000-0E00-000001000000}">
      <formula1>"0,10"</formula1>
    </dataValidation>
    <dataValidation type="list" allowBlank="1" showInputMessage="1" showErrorMessage="1" sqref="C5:C9" xr:uid="{00000000-0002-0000-0E00-000000000000}">
      <formula1>$D$4:$D$8</formula1>
    </dataValidation>
  </dataValidations>
  <pageMargins left="0.59055118110236238" right="0.59055118110236238" top="0.59055118110236238" bottom="0.59055118110236238" header="0.31496062992125984" footer="0.31496062992125984"/>
  <pageSetup paperSize="9" scale="57"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4">
    <pageSetUpPr fitToPage="1"/>
  </sheetPr>
  <dimension ref="A1:P55"/>
  <sheetViews>
    <sheetView zoomScale="80" zoomScaleNormal="80" workbookViewId="0">
      <selection activeCell="L43" sqref="L43"/>
    </sheetView>
  </sheetViews>
  <sheetFormatPr baseColWidth="10" defaultColWidth="11.36328125" defaultRowHeight="12.5"/>
  <cols>
    <col min="1" max="1" width="11.36328125" style="98"/>
    <col min="2" max="2" width="20.36328125" style="98" customWidth="1"/>
    <col min="3" max="3" width="23.08984375" style="98" customWidth="1"/>
    <col min="4" max="4" width="13.7265625" style="98" customWidth="1"/>
    <col min="5" max="5" width="7.36328125" style="98" hidden="1" customWidth="1"/>
    <col min="6" max="6" width="30.7265625" style="103" customWidth="1"/>
    <col min="7" max="7" width="32.08984375" style="98" customWidth="1"/>
    <col min="8" max="8" width="26.26953125" style="98" customWidth="1"/>
    <col min="9" max="9" width="19.6328125" style="98" hidden="1" customWidth="1"/>
    <col min="10" max="10" width="18" style="98" hidden="1" customWidth="1"/>
    <col min="11" max="11" width="17.08984375" style="98" hidden="1" customWidth="1"/>
    <col min="12" max="12" width="43.26953125" style="98" customWidth="1"/>
    <col min="13" max="13" width="33.36328125" style="98" customWidth="1"/>
    <col min="14" max="14" width="17.36328125" style="98" bestFit="1" customWidth="1"/>
    <col min="15" max="16384" width="11.36328125" style="98"/>
  </cols>
  <sheetData>
    <row r="1" spans="1:16" ht="41.25" customHeight="1">
      <c r="A1" s="1322" t="s">
        <v>713</v>
      </c>
      <c r="B1" s="1322"/>
      <c r="C1" s="1322"/>
      <c r="D1" s="1322"/>
    </row>
    <row r="2" spans="1:16" ht="18.75" customHeight="1" thickBot="1">
      <c r="A2" s="99"/>
      <c r="B2" s="99"/>
      <c r="C2" s="99"/>
      <c r="D2" s="99"/>
    </row>
    <row r="3" spans="1:16" s="101" customFormat="1" ht="25" customHeight="1" thickBot="1">
      <c r="A3" s="1579" t="s">
        <v>448</v>
      </c>
      <c r="B3" s="1580"/>
      <c r="C3" s="1581"/>
      <c r="D3" s="952" t="s">
        <v>162</v>
      </c>
      <c r="F3" s="163" t="s">
        <v>53</v>
      </c>
      <c r="G3" s="642" t="s">
        <v>450</v>
      </c>
      <c r="H3" s="463" t="s">
        <v>451</v>
      </c>
      <c r="I3" s="464" t="s">
        <v>349</v>
      </c>
      <c r="J3" s="464" t="s">
        <v>350</v>
      </c>
      <c r="K3" s="464" t="s">
        <v>351</v>
      </c>
    </row>
    <row r="4" spans="1:16" s="101" customFormat="1" ht="25" customHeight="1">
      <c r="A4" s="498" t="s">
        <v>332</v>
      </c>
      <c r="B4" s="957" t="s">
        <v>333</v>
      </c>
      <c r="C4" s="958" t="s">
        <v>334</v>
      </c>
      <c r="D4" s="1570">
        <f>IF(AND(G5&gt;0,G5&lt;=299.99),50,IF(AND(G5&gt;=300,G5&lt;=499.99),35,IF(AND(G5&gt;=500,G5&lt;=999.99),20,IF(AND(G5&gt;=1000,G5&lt;=2999.99),0,IF(G5&gt;=3000,0,"")))))</f>
        <v>0</v>
      </c>
      <c r="E4" s="101">
        <v>0</v>
      </c>
      <c r="F4" s="163"/>
      <c r="G4" s="656" t="s">
        <v>448</v>
      </c>
      <c r="H4" s="469" t="s">
        <v>355</v>
      </c>
      <c r="I4" s="470" t="str">
        <f>IF(AND($G$5&lt;=2999.99,$G$7&lt;=0.99),"ERFÜLLT","Nicht Erfüllt")</f>
        <v>Nicht Erfüllt</v>
      </c>
      <c r="J4" s="470" t="str">
        <f>IF(AND($G$5&lt;=499.99,$G$7&lt;=0.079),"ERFÜLLT","Nicht Erfüllt")</f>
        <v>Nicht Erfüllt</v>
      </c>
      <c r="K4" s="470" t="str">
        <f>IF(AND($G$5&lt;=299.99,$G$7&lt;=0.039),"ERFÜLLT","Nicht Erfüllt")</f>
        <v>Nicht Erfüllt</v>
      </c>
      <c r="N4" s="102"/>
    </row>
    <row r="5" spans="1:16" s="101" customFormat="1" ht="25" customHeight="1">
      <c r="A5" s="465" t="s">
        <v>335</v>
      </c>
      <c r="B5" s="466" t="s">
        <v>336</v>
      </c>
      <c r="C5" s="467" t="s">
        <v>337</v>
      </c>
      <c r="D5" s="1571"/>
      <c r="E5" s="101">
        <v>20</v>
      </c>
      <c r="F5" s="163"/>
      <c r="G5" s="507" t="str">
        <f>Nebenrechnungen!C36</f>
        <v xml:space="preserve"> </v>
      </c>
      <c r="H5" s="471"/>
      <c r="I5" s="471"/>
      <c r="P5" s="472"/>
    </row>
    <row r="6" spans="1:16" s="101" customFormat="1" ht="25" customHeight="1">
      <c r="A6" s="465" t="s">
        <v>339</v>
      </c>
      <c r="B6" s="466" t="s">
        <v>340</v>
      </c>
      <c r="C6" s="467" t="s">
        <v>341</v>
      </c>
      <c r="D6" s="1571"/>
      <c r="E6" s="101">
        <v>35</v>
      </c>
      <c r="F6" s="163"/>
      <c r="G6" s="468" t="s">
        <v>338</v>
      </c>
      <c r="H6" s="2"/>
      <c r="I6" s="2"/>
      <c r="P6" s="472"/>
    </row>
    <row r="7" spans="1:16" s="101" customFormat="1" ht="32.5" customHeight="1">
      <c r="A7" s="465" t="s">
        <v>342</v>
      </c>
      <c r="B7" s="466" t="s">
        <v>343</v>
      </c>
      <c r="C7" s="467" t="s">
        <v>344</v>
      </c>
      <c r="D7" s="1571"/>
      <c r="E7" s="101">
        <v>50</v>
      </c>
      <c r="F7" s="473"/>
      <c r="G7" s="506" t="str">
        <f>Nebenrechnungen!C37</f>
        <v xml:space="preserve"> </v>
      </c>
      <c r="H7" s="316"/>
    </row>
    <row r="8" spans="1:16" s="101" customFormat="1" ht="25" customHeight="1" thickBot="1">
      <c r="A8" s="954"/>
      <c r="B8" s="955" t="s">
        <v>345</v>
      </c>
      <c r="C8" s="956" t="s">
        <v>346</v>
      </c>
      <c r="D8" s="1571"/>
      <c r="F8" s="476"/>
      <c r="G8" s="656" t="s">
        <v>455</v>
      </c>
      <c r="H8" s="475" t="s">
        <v>452</v>
      </c>
      <c r="I8" s="471"/>
    </row>
    <row r="9" spans="1:16" s="101" customFormat="1" ht="25" customHeight="1" thickBot="1">
      <c r="A9" s="1579" t="s">
        <v>338</v>
      </c>
      <c r="B9" s="1580"/>
      <c r="C9" s="1580"/>
      <c r="D9" s="1486"/>
      <c r="F9" s="476"/>
      <c r="G9" s="505" t="str">
        <f>Nebenrechnungen!C40</f>
        <v>Ja</v>
      </c>
      <c r="H9" s="477" t="s">
        <v>347</v>
      </c>
      <c r="N9" s="478"/>
    </row>
    <row r="10" spans="1:16" s="101" customFormat="1" ht="25" customHeight="1">
      <c r="A10" s="498" t="s">
        <v>332</v>
      </c>
      <c r="B10" s="957" t="s">
        <v>348</v>
      </c>
      <c r="C10" s="958" t="s">
        <v>341</v>
      </c>
      <c r="D10" s="1571">
        <f>IF(AND(G7&gt;0,G7&lt;=0.039),20,IF(AND(G7&gt;=0.04,G7&lt;=0.079),10,IF(AND(G7&gt;=0.08,G7&lt;=0.099),5,IF(G7&gt;=0.1,0,""))))</f>
        <v>0</v>
      </c>
      <c r="E10" s="101">
        <v>0</v>
      </c>
      <c r="F10" s="652"/>
      <c r="G10" s="653"/>
      <c r="H10" s="474" t="str">
        <f>IF(AND(K4="ERFÜLLT",G10=K33,G11=K51),"ERFÜLLT","nicht erfüllt")</f>
        <v>nicht erfüllt</v>
      </c>
      <c r="N10" s="478"/>
    </row>
    <row r="11" spans="1:16" s="101" customFormat="1" ht="25" customHeight="1">
      <c r="A11" s="465" t="s">
        <v>335</v>
      </c>
      <c r="B11" s="466" t="s">
        <v>352</v>
      </c>
      <c r="C11" s="467" t="s">
        <v>353</v>
      </c>
      <c r="D11" s="1571"/>
      <c r="E11" s="101">
        <v>5</v>
      </c>
      <c r="F11" s="652"/>
      <c r="G11" s="653"/>
      <c r="H11" s="477" t="s">
        <v>354</v>
      </c>
      <c r="M11" s="101">
        <v>1</v>
      </c>
      <c r="N11" s="478"/>
    </row>
    <row r="12" spans="1:16" s="101" customFormat="1" ht="25" customHeight="1">
      <c r="A12" s="465" t="s">
        <v>339</v>
      </c>
      <c r="B12" s="466" t="s">
        <v>356</v>
      </c>
      <c r="C12" s="467" t="s">
        <v>357</v>
      </c>
      <c r="D12" s="1571"/>
      <c r="E12" s="101">
        <v>10</v>
      </c>
      <c r="F12" s="476"/>
      <c r="G12" s="476"/>
      <c r="H12" s="474" t="str">
        <f>IF(AND(J4="ERFÜLLT",G10=J33,G11=J51),"ERFÜLLT","nicht erfüllt")</f>
        <v>nicht erfüllt</v>
      </c>
      <c r="K12" s="479"/>
      <c r="M12" s="471"/>
      <c r="N12" s="478"/>
    </row>
    <row r="13" spans="1:16" s="101" customFormat="1" ht="30.75" customHeight="1" thickBot="1">
      <c r="A13" s="480" t="s">
        <v>342</v>
      </c>
      <c r="B13" s="481" t="s">
        <v>358</v>
      </c>
      <c r="C13" s="482" t="s">
        <v>344</v>
      </c>
      <c r="D13" s="1572"/>
      <c r="E13" s="101">
        <v>20</v>
      </c>
      <c r="F13" s="473"/>
      <c r="G13" s="476"/>
      <c r="H13" s="477" t="s">
        <v>359</v>
      </c>
      <c r="K13" s="479"/>
      <c r="M13" s="471"/>
      <c r="N13" s="478"/>
    </row>
    <row r="14" spans="1:16" s="102" customFormat="1" ht="25" customHeight="1" thickBot="1">
      <c r="A14" s="1576" t="s">
        <v>122</v>
      </c>
      <c r="B14" s="1577"/>
      <c r="C14" s="1578"/>
      <c r="D14" s="953">
        <f>IF(SUM(D4:D13)&lt;70,SUM(D4:D13),70)</f>
        <v>0</v>
      </c>
      <c r="F14" s="654"/>
      <c r="G14" s="655"/>
      <c r="H14" s="474" t="str">
        <f>IF(AND(I4="ERFÜLLT",G10=I33,G11=I51),"ERFÜLLT","nicht erfüllt")</f>
        <v>nicht erfüllt</v>
      </c>
      <c r="K14" s="478"/>
      <c r="M14" s="483"/>
      <c r="N14" s="478"/>
    </row>
    <row r="15" spans="1:16" ht="29.25" customHeight="1"/>
    <row r="16" spans="1:16" ht="12.75" customHeight="1" thickBot="1">
      <c r="I16" s="484" t="s">
        <v>360</v>
      </c>
    </row>
    <row r="17" spans="1:11" ht="19" customHeight="1" thickBot="1">
      <c r="A17" s="1573" t="s">
        <v>448</v>
      </c>
      <c r="B17" s="1574"/>
      <c r="C17" s="1575"/>
      <c r="D17" s="485" t="s">
        <v>446</v>
      </c>
      <c r="E17" s="486"/>
      <c r="F17" s="487" t="s">
        <v>361</v>
      </c>
      <c r="G17" s="485" t="s">
        <v>447</v>
      </c>
      <c r="H17" s="488" t="s">
        <v>362</v>
      </c>
      <c r="I17" s="167" t="s">
        <v>349</v>
      </c>
      <c r="J17" s="489" t="s">
        <v>363</v>
      </c>
      <c r="K17" s="489" t="s">
        <v>351</v>
      </c>
    </row>
    <row r="18" spans="1:11" ht="12.75" customHeight="1">
      <c r="A18" s="490" t="s">
        <v>364</v>
      </c>
      <c r="B18" s="491" t="s">
        <v>445</v>
      </c>
      <c r="C18" s="493" t="str">
        <f>IF(ISBLANK(Nebenrechnungen!D43),"",Nebenrechnungen!D43)</f>
        <v/>
      </c>
      <c r="D18" s="493" t="str">
        <f>IF(ISBLANK(Nebenrechnungen!E43),"",Nebenrechnungen!E43)</f>
        <v/>
      </c>
      <c r="E18" s="493" t="str">
        <f>IF(ISBLANK(Nebenrechnungen!F43),"",Nebenrechnungen!F43)</f>
        <v/>
      </c>
      <c r="F18" s="726" t="str">
        <f>IF(ISBLANK(Nebenrechnungen!F43),"",Nebenrechnungen!F43)</f>
        <v/>
      </c>
      <c r="G18" s="493" t="str">
        <f>IF(ISBLANK(Nebenrechnungen!G43),"",Nebenrechnungen!G43)</f>
        <v/>
      </c>
      <c r="H18" s="707">
        <f>Nebenrechnungen!H43</f>
        <v>0</v>
      </c>
      <c r="I18" s="706" t="str">
        <f>IF(AND(F18&gt;0,G18&lt;=4),"ERFÜLLT",IF(F18=0," ","nicht erfüllt"))</f>
        <v>nicht erfüllt</v>
      </c>
      <c r="J18" s="470" t="str">
        <f>IF(AND(F18&gt;0,G18&lt;4),"ERFÜLLT",IF(F18=0," ","nicht erfüllt"))</f>
        <v>nicht erfüllt</v>
      </c>
      <c r="K18" s="470" t="str">
        <f>IF(AND(F18&gt;0,G18&lt;4),"ERFÜLLT",IF(F18=0," ","nicht erfüllt"))</f>
        <v>nicht erfüllt</v>
      </c>
    </row>
    <row r="19" spans="1:11" ht="12.75" customHeight="1">
      <c r="A19" s="490" t="s">
        <v>365</v>
      </c>
      <c r="B19" s="491" t="s">
        <v>445</v>
      </c>
      <c r="C19" s="493" t="str">
        <f>IF(ISBLANK(Nebenrechnungen!D44),"",Nebenrechnungen!D44)</f>
        <v/>
      </c>
      <c r="D19" s="493" t="str">
        <f>IF(ISBLANK(Nebenrechnungen!E44),"",Nebenrechnungen!E44)</f>
        <v/>
      </c>
      <c r="E19" s="493"/>
      <c r="F19" s="726" t="str">
        <f>IF(ISBLANK(Nebenrechnungen!F44),"",Nebenrechnungen!F44)</f>
        <v/>
      </c>
      <c r="G19" s="493" t="str">
        <f>IF(ISBLANK(Nebenrechnungen!G44),"",Nebenrechnungen!G44)</f>
        <v/>
      </c>
      <c r="H19" s="708">
        <f>Nebenrechnungen!H44</f>
        <v>0</v>
      </c>
      <c r="I19" s="706" t="str">
        <f t="shared" ref="I19:I32" si="0">IF(AND(F19&gt;0,G19&lt;=4),"ERFÜLLT",IF(F19=0," ","nicht erfüllt"))</f>
        <v>nicht erfüllt</v>
      </c>
      <c r="J19" s="470" t="str">
        <f t="shared" ref="J19:J32" si="1">IF(AND(F19&gt;0,G19&lt;4),"ERFÜLLT",IF(F19=0," ","nicht erfüllt"))</f>
        <v>nicht erfüllt</v>
      </c>
      <c r="K19" s="470" t="str">
        <f t="shared" ref="K19:K32" si="2">IF(AND(F19&gt;0,G19&lt;4),"ERFÜLLT",IF(F19=0," ","nicht erfüllt"))</f>
        <v>nicht erfüllt</v>
      </c>
    </row>
    <row r="20" spans="1:11" ht="12.75" customHeight="1">
      <c r="A20" s="490" t="s">
        <v>366</v>
      </c>
      <c r="B20" s="491" t="s">
        <v>445</v>
      </c>
      <c r="C20" s="493" t="str">
        <f>IF(ISBLANK(Nebenrechnungen!D45),"",Nebenrechnungen!D45)</f>
        <v/>
      </c>
      <c r="D20" s="493" t="str">
        <f>IF(ISBLANK(Nebenrechnungen!E45),"",Nebenrechnungen!E45)</f>
        <v/>
      </c>
      <c r="E20" s="493"/>
      <c r="F20" s="726" t="str">
        <f>IF(ISBLANK(Nebenrechnungen!F45),"",Nebenrechnungen!F45)</f>
        <v/>
      </c>
      <c r="G20" s="493" t="str">
        <f>IF(ISBLANK(Nebenrechnungen!G45),"",Nebenrechnungen!G45)</f>
        <v/>
      </c>
      <c r="H20" s="708">
        <f>Nebenrechnungen!H45</f>
        <v>0</v>
      </c>
      <c r="I20" s="706" t="str">
        <f t="shared" si="0"/>
        <v>nicht erfüllt</v>
      </c>
      <c r="J20" s="470" t="str">
        <f t="shared" si="1"/>
        <v>nicht erfüllt</v>
      </c>
      <c r="K20" s="470" t="str">
        <f t="shared" si="2"/>
        <v>nicht erfüllt</v>
      </c>
    </row>
    <row r="21" spans="1:11" ht="12.75" customHeight="1">
      <c r="A21" s="490" t="s">
        <v>367</v>
      </c>
      <c r="B21" s="491" t="s">
        <v>445</v>
      </c>
      <c r="C21" s="493" t="str">
        <f>IF(ISBLANK(Nebenrechnungen!D46),"",Nebenrechnungen!D46)</f>
        <v/>
      </c>
      <c r="D21" s="493" t="str">
        <f>IF(ISBLANK(Nebenrechnungen!E46),"",Nebenrechnungen!E46)</f>
        <v/>
      </c>
      <c r="E21" s="493"/>
      <c r="F21" s="726" t="str">
        <f>IF(ISBLANK(Nebenrechnungen!F46),"",Nebenrechnungen!F46)</f>
        <v/>
      </c>
      <c r="G21" s="493" t="str">
        <f>IF(ISBLANK(Nebenrechnungen!G46),"",Nebenrechnungen!G46)</f>
        <v/>
      </c>
      <c r="H21" s="708">
        <f>Nebenrechnungen!H46</f>
        <v>0</v>
      </c>
      <c r="I21" s="706" t="str">
        <f t="shared" si="0"/>
        <v>nicht erfüllt</v>
      </c>
      <c r="J21" s="470" t="str">
        <f t="shared" si="1"/>
        <v>nicht erfüllt</v>
      </c>
      <c r="K21" s="470" t="str">
        <f t="shared" si="2"/>
        <v>nicht erfüllt</v>
      </c>
    </row>
    <row r="22" spans="1:11" ht="12.75" customHeight="1">
      <c r="A22" s="490" t="s">
        <v>368</v>
      </c>
      <c r="B22" s="491" t="s">
        <v>445</v>
      </c>
      <c r="C22" s="493" t="str">
        <f>IF(ISBLANK(Nebenrechnungen!D47),"",Nebenrechnungen!D47)</f>
        <v/>
      </c>
      <c r="D22" s="493" t="str">
        <f>IF(ISBLANK(Nebenrechnungen!E47),"",Nebenrechnungen!E47)</f>
        <v/>
      </c>
      <c r="E22" s="493"/>
      <c r="F22" s="726" t="str">
        <f>IF(ISBLANK(Nebenrechnungen!F47),"",Nebenrechnungen!F47)</f>
        <v/>
      </c>
      <c r="G22" s="493" t="str">
        <f>IF(ISBLANK(Nebenrechnungen!G47),"",Nebenrechnungen!G47)</f>
        <v/>
      </c>
      <c r="H22" s="708">
        <f>Nebenrechnungen!H47</f>
        <v>0</v>
      </c>
      <c r="I22" s="706" t="str">
        <f t="shared" si="0"/>
        <v>nicht erfüllt</v>
      </c>
      <c r="J22" s="470" t="str">
        <f t="shared" si="1"/>
        <v>nicht erfüllt</v>
      </c>
      <c r="K22" s="470" t="str">
        <f t="shared" si="2"/>
        <v>nicht erfüllt</v>
      </c>
    </row>
    <row r="23" spans="1:11" ht="13">
      <c r="A23" s="490" t="s">
        <v>369</v>
      </c>
      <c r="B23" s="491" t="s">
        <v>445</v>
      </c>
      <c r="C23" s="493" t="str">
        <f>IF(ISBLANK(Nebenrechnungen!D48),"",Nebenrechnungen!D48)</f>
        <v/>
      </c>
      <c r="D23" s="493" t="str">
        <f>IF(ISBLANK(Nebenrechnungen!E48),"",Nebenrechnungen!E48)</f>
        <v/>
      </c>
      <c r="E23" s="493"/>
      <c r="F23" s="726" t="str">
        <f>IF(ISBLANK(Nebenrechnungen!F48),"",Nebenrechnungen!F48)</f>
        <v/>
      </c>
      <c r="G23" s="493" t="str">
        <f>IF(ISBLANK(Nebenrechnungen!G48),"",Nebenrechnungen!G48)</f>
        <v/>
      </c>
      <c r="H23" s="708">
        <f>Nebenrechnungen!H48</f>
        <v>0</v>
      </c>
      <c r="I23" s="706" t="str">
        <f t="shared" si="0"/>
        <v>nicht erfüllt</v>
      </c>
      <c r="J23" s="470" t="str">
        <f t="shared" si="1"/>
        <v>nicht erfüllt</v>
      </c>
      <c r="K23" s="470" t="str">
        <f t="shared" si="2"/>
        <v>nicht erfüllt</v>
      </c>
    </row>
    <row r="24" spans="1:11" ht="13">
      <c r="A24" s="490" t="s">
        <v>370</v>
      </c>
      <c r="B24" s="491" t="s">
        <v>445</v>
      </c>
      <c r="C24" s="493" t="str">
        <f>IF(ISBLANK(Nebenrechnungen!D49),"",Nebenrechnungen!D49)</f>
        <v/>
      </c>
      <c r="D24" s="493" t="str">
        <f>IF(ISBLANK(Nebenrechnungen!E49),"",Nebenrechnungen!E49)</f>
        <v/>
      </c>
      <c r="E24" s="493"/>
      <c r="F24" s="726" t="str">
        <f>IF(ISBLANK(Nebenrechnungen!F49),"",Nebenrechnungen!F49)</f>
        <v/>
      </c>
      <c r="G24" s="493" t="str">
        <f>IF(ISBLANK(Nebenrechnungen!G49),"",Nebenrechnungen!G49)</f>
        <v/>
      </c>
      <c r="H24" s="708">
        <f>Nebenrechnungen!H49</f>
        <v>0</v>
      </c>
      <c r="I24" s="706" t="str">
        <f t="shared" si="0"/>
        <v>nicht erfüllt</v>
      </c>
      <c r="J24" s="470" t="str">
        <f t="shared" si="1"/>
        <v>nicht erfüllt</v>
      </c>
      <c r="K24" s="470" t="str">
        <f t="shared" si="2"/>
        <v>nicht erfüllt</v>
      </c>
    </row>
    <row r="25" spans="1:11" ht="13">
      <c r="A25" s="490" t="s">
        <v>371</v>
      </c>
      <c r="B25" s="491" t="s">
        <v>445</v>
      </c>
      <c r="C25" s="493" t="str">
        <f>IF(ISBLANK(Nebenrechnungen!D50),"",Nebenrechnungen!D50)</f>
        <v/>
      </c>
      <c r="D25" s="493" t="str">
        <f>IF(ISBLANK(Nebenrechnungen!E50),"",Nebenrechnungen!E50)</f>
        <v/>
      </c>
      <c r="E25" s="493"/>
      <c r="F25" s="726" t="str">
        <f>IF(ISBLANK(Nebenrechnungen!F50),"",Nebenrechnungen!F50)</f>
        <v/>
      </c>
      <c r="G25" s="493" t="str">
        <f>IF(ISBLANK(Nebenrechnungen!G50),"",Nebenrechnungen!G50)</f>
        <v/>
      </c>
      <c r="H25" s="708">
        <f>Nebenrechnungen!H50</f>
        <v>0</v>
      </c>
      <c r="I25" s="706" t="str">
        <f t="shared" si="0"/>
        <v>nicht erfüllt</v>
      </c>
      <c r="J25" s="470" t="str">
        <f t="shared" si="1"/>
        <v>nicht erfüllt</v>
      </c>
      <c r="K25" s="470" t="str">
        <f t="shared" si="2"/>
        <v>nicht erfüllt</v>
      </c>
    </row>
    <row r="26" spans="1:11" ht="13">
      <c r="A26" s="490" t="s">
        <v>372</v>
      </c>
      <c r="B26" s="491" t="s">
        <v>445</v>
      </c>
      <c r="C26" s="493" t="str">
        <f>IF(ISBLANK(Nebenrechnungen!D51),"",Nebenrechnungen!D51)</f>
        <v/>
      </c>
      <c r="D26" s="493" t="str">
        <f>IF(ISBLANK(Nebenrechnungen!E51),"",Nebenrechnungen!E51)</f>
        <v/>
      </c>
      <c r="E26" s="493"/>
      <c r="F26" s="726" t="str">
        <f>IF(ISBLANK(Nebenrechnungen!F51),"",Nebenrechnungen!F51)</f>
        <v/>
      </c>
      <c r="G26" s="493" t="str">
        <f>IF(ISBLANK(Nebenrechnungen!G51),"",Nebenrechnungen!G51)</f>
        <v/>
      </c>
      <c r="H26" s="708">
        <f>Nebenrechnungen!H51</f>
        <v>0</v>
      </c>
      <c r="I26" s="706" t="str">
        <f t="shared" si="0"/>
        <v>nicht erfüllt</v>
      </c>
      <c r="J26" s="470" t="str">
        <f t="shared" si="1"/>
        <v>nicht erfüllt</v>
      </c>
      <c r="K26" s="470" t="str">
        <f t="shared" si="2"/>
        <v>nicht erfüllt</v>
      </c>
    </row>
    <row r="27" spans="1:11" ht="13">
      <c r="A27" s="490" t="s">
        <v>373</v>
      </c>
      <c r="B27" s="491" t="s">
        <v>445</v>
      </c>
      <c r="C27" s="493" t="str">
        <f>IF(ISBLANK(Nebenrechnungen!D52),"",Nebenrechnungen!D52)</f>
        <v/>
      </c>
      <c r="D27" s="493" t="str">
        <f>IF(ISBLANK(Nebenrechnungen!E52),"",Nebenrechnungen!E52)</f>
        <v/>
      </c>
      <c r="E27" s="493"/>
      <c r="F27" s="726" t="str">
        <f>IF(ISBLANK(Nebenrechnungen!F52),"",Nebenrechnungen!F52)</f>
        <v/>
      </c>
      <c r="G27" s="493" t="str">
        <f>IF(ISBLANK(Nebenrechnungen!G52),"",Nebenrechnungen!G52)</f>
        <v/>
      </c>
      <c r="H27" s="708">
        <f>Nebenrechnungen!H52</f>
        <v>0</v>
      </c>
      <c r="I27" s="706" t="str">
        <f t="shared" si="0"/>
        <v>nicht erfüllt</v>
      </c>
      <c r="J27" s="470" t="str">
        <f t="shared" si="1"/>
        <v>nicht erfüllt</v>
      </c>
      <c r="K27" s="470" t="str">
        <f t="shared" si="2"/>
        <v>nicht erfüllt</v>
      </c>
    </row>
    <row r="28" spans="1:11" ht="13">
      <c r="A28" s="490" t="s">
        <v>374</v>
      </c>
      <c r="B28" s="491" t="s">
        <v>445</v>
      </c>
      <c r="C28" s="493" t="str">
        <f>IF(ISBLANK(Nebenrechnungen!D53),"",Nebenrechnungen!D53)</f>
        <v/>
      </c>
      <c r="D28" s="493" t="str">
        <f>IF(ISBLANK(Nebenrechnungen!E53),"",Nebenrechnungen!E53)</f>
        <v/>
      </c>
      <c r="E28" s="493"/>
      <c r="F28" s="726" t="str">
        <f>IF(ISBLANK(Nebenrechnungen!F53),"",Nebenrechnungen!F53)</f>
        <v/>
      </c>
      <c r="G28" s="493" t="str">
        <f>IF(ISBLANK(Nebenrechnungen!G53),"",Nebenrechnungen!G53)</f>
        <v/>
      </c>
      <c r="H28" s="708">
        <f>Nebenrechnungen!H53</f>
        <v>0</v>
      </c>
      <c r="I28" s="706" t="str">
        <f t="shared" si="0"/>
        <v>nicht erfüllt</v>
      </c>
      <c r="J28" s="470" t="str">
        <f t="shared" si="1"/>
        <v>nicht erfüllt</v>
      </c>
      <c r="K28" s="470" t="str">
        <f t="shared" si="2"/>
        <v>nicht erfüllt</v>
      </c>
    </row>
    <row r="29" spans="1:11" ht="13">
      <c r="A29" s="490" t="s">
        <v>375</v>
      </c>
      <c r="B29" s="491" t="s">
        <v>445</v>
      </c>
      <c r="C29" s="493" t="str">
        <f>IF(ISBLANK(Nebenrechnungen!D54),"",Nebenrechnungen!D54)</f>
        <v/>
      </c>
      <c r="D29" s="493" t="str">
        <f>IF(ISBLANK(Nebenrechnungen!E54),"",Nebenrechnungen!E54)</f>
        <v/>
      </c>
      <c r="E29" s="493"/>
      <c r="F29" s="726" t="str">
        <f>IF(ISBLANK(Nebenrechnungen!F54),"",Nebenrechnungen!F54)</f>
        <v/>
      </c>
      <c r="G29" s="493" t="str">
        <f>IF(ISBLANK(Nebenrechnungen!G54),"",Nebenrechnungen!G54)</f>
        <v/>
      </c>
      <c r="H29" s="708">
        <f>Nebenrechnungen!H54</f>
        <v>0</v>
      </c>
      <c r="I29" s="706" t="str">
        <f t="shared" si="0"/>
        <v>nicht erfüllt</v>
      </c>
      <c r="J29" s="470" t="str">
        <f t="shared" si="1"/>
        <v>nicht erfüllt</v>
      </c>
      <c r="K29" s="470" t="str">
        <f t="shared" si="2"/>
        <v>nicht erfüllt</v>
      </c>
    </row>
    <row r="30" spans="1:11" ht="13">
      <c r="A30" s="490" t="s">
        <v>376</v>
      </c>
      <c r="B30" s="491" t="s">
        <v>445</v>
      </c>
      <c r="C30" s="493" t="str">
        <f>IF(ISBLANK(Nebenrechnungen!D55),"",Nebenrechnungen!D55)</f>
        <v/>
      </c>
      <c r="D30" s="493" t="str">
        <f>IF(ISBLANK(Nebenrechnungen!E55),"",Nebenrechnungen!E55)</f>
        <v/>
      </c>
      <c r="E30" s="493"/>
      <c r="F30" s="726" t="str">
        <f>IF(ISBLANK(Nebenrechnungen!F55),"",Nebenrechnungen!F55)</f>
        <v/>
      </c>
      <c r="G30" s="493" t="str">
        <f>IF(ISBLANK(Nebenrechnungen!G55),"",Nebenrechnungen!G55)</f>
        <v/>
      </c>
      <c r="H30" s="708">
        <f>Nebenrechnungen!H55</f>
        <v>0</v>
      </c>
      <c r="I30" s="706" t="str">
        <f t="shared" si="0"/>
        <v>nicht erfüllt</v>
      </c>
      <c r="J30" s="470" t="str">
        <f t="shared" si="1"/>
        <v>nicht erfüllt</v>
      </c>
      <c r="K30" s="470" t="str">
        <f t="shared" si="2"/>
        <v>nicht erfüllt</v>
      </c>
    </row>
    <row r="31" spans="1:11" ht="13">
      <c r="A31" s="490" t="s">
        <v>377</v>
      </c>
      <c r="B31" s="491" t="s">
        <v>445</v>
      </c>
      <c r="C31" s="493" t="str">
        <f>IF(ISBLANK(Nebenrechnungen!D56),"",Nebenrechnungen!D56)</f>
        <v/>
      </c>
      <c r="D31" s="493" t="str">
        <f>IF(ISBLANK(Nebenrechnungen!E56),"",Nebenrechnungen!E56)</f>
        <v/>
      </c>
      <c r="E31" s="493"/>
      <c r="F31" s="726" t="str">
        <f>IF(ISBLANK(Nebenrechnungen!F56),"",Nebenrechnungen!F56)</f>
        <v/>
      </c>
      <c r="G31" s="493" t="str">
        <f>IF(ISBLANK(Nebenrechnungen!G56),"",Nebenrechnungen!G56)</f>
        <v/>
      </c>
      <c r="H31" s="708">
        <f>Nebenrechnungen!H56</f>
        <v>0</v>
      </c>
      <c r="I31" s="706" t="str">
        <f t="shared" si="0"/>
        <v>nicht erfüllt</v>
      </c>
      <c r="J31" s="470" t="str">
        <f t="shared" si="1"/>
        <v>nicht erfüllt</v>
      </c>
      <c r="K31" s="470" t="str">
        <f t="shared" si="2"/>
        <v>nicht erfüllt</v>
      </c>
    </row>
    <row r="32" spans="1:11" ht="13.5" thickBot="1">
      <c r="A32" s="494" t="s">
        <v>378</v>
      </c>
      <c r="B32" s="491" t="s">
        <v>445</v>
      </c>
      <c r="C32" s="493" t="str">
        <f>IF(ISBLANK(Nebenrechnungen!D57),"",Nebenrechnungen!D57)</f>
        <v/>
      </c>
      <c r="D32" s="493" t="str">
        <f>IF(ISBLANK(Nebenrechnungen!E57),"",Nebenrechnungen!E57)</f>
        <v/>
      </c>
      <c r="E32" s="493"/>
      <c r="F32" s="726" t="str">
        <f>IF(ISBLANK(Nebenrechnungen!F57),"",Nebenrechnungen!F57)</f>
        <v/>
      </c>
      <c r="G32" s="493" t="str">
        <f>IF(ISBLANK(Nebenrechnungen!G57),"",Nebenrechnungen!G57)</f>
        <v/>
      </c>
      <c r="H32" s="709">
        <f>Nebenrechnungen!H57</f>
        <v>0</v>
      </c>
      <c r="I32" s="706" t="str">
        <f t="shared" si="0"/>
        <v>nicht erfüllt</v>
      </c>
      <c r="J32" s="470" t="str">
        <f t="shared" si="1"/>
        <v>nicht erfüllt</v>
      </c>
      <c r="K32" s="470" t="str">
        <f t="shared" si="2"/>
        <v>nicht erfüllt</v>
      </c>
    </row>
    <row r="33" spans="1:11" ht="14.5" thickBot="1">
      <c r="A33" s="1568" t="s">
        <v>122</v>
      </c>
      <c r="B33" s="1569"/>
      <c r="C33" s="1569"/>
      <c r="D33" s="496" t="str">
        <f>IF(SUM(D18:D32)&gt;0,SUM(D18:D32)," ")</f>
        <v xml:space="preserve"> </v>
      </c>
      <c r="E33" s="497" t="str">
        <f>IF(SUM(E18:E32)&gt;0,SUM(E18:E32)," ")</f>
        <v xml:space="preserve"> </v>
      </c>
      <c r="F33" s="728" t="str">
        <f>IF(ISBLANK(Nebenrechnungen!F58),"",Nebenrechnungen!F58)</f>
        <v/>
      </c>
      <c r="G33" s="496"/>
      <c r="H33" s="497" t="str">
        <f>IF(SUM(H18:H32)&gt;0,SUM(H18:H32)," ")</f>
        <v xml:space="preserve"> </v>
      </c>
      <c r="I33" s="98">
        <f>COUNTIF(I18:I32,"ERFÜLLT")</f>
        <v>0</v>
      </c>
      <c r="J33" s="98">
        <f>COUNTIF(J18:J32,"ERFÜLLT")</f>
        <v>0</v>
      </c>
      <c r="K33" s="98">
        <f>COUNTIF(K18:K32,"ERFÜLLT")</f>
        <v>0</v>
      </c>
    </row>
    <row r="34" spans="1:11" ht="13" thickBot="1">
      <c r="F34" s="98" t="str">
        <f>IF(ISBLANK(Nebenrechnungen!F59),"",Nebenrechnungen!F59)</f>
        <v/>
      </c>
    </row>
    <row r="35" spans="1:11" ht="19" customHeight="1" thickBot="1">
      <c r="A35" s="1573" t="s">
        <v>338</v>
      </c>
      <c r="B35" s="1574"/>
      <c r="C35" s="1575"/>
      <c r="D35" s="485" t="s">
        <v>446</v>
      </c>
      <c r="E35" s="486"/>
      <c r="F35" s="485" t="str">
        <f>IF(ISBLANK(Nebenrechnungen!F60),"",Nebenrechnungen!F60)</f>
        <v>Ergebnis Messung (ppm)</v>
      </c>
      <c r="G35" s="485" t="s">
        <v>447</v>
      </c>
      <c r="H35" s="488" t="s">
        <v>362</v>
      </c>
      <c r="I35" s="167" t="s">
        <v>349</v>
      </c>
      <c r="J35" s="489" t="s">
        <v>363</v>
      </c>
      <c r="K35" s="489" t="s">
        <v>351</v>
      </c>
    </row>
    <row r="36" spans="1:11" ht="13">
      <c r="A36" s="498" t="s">
        <v>364</v>
      </c>
      <c r="B36" s="491" t="s">
        <v>445</v>
      </c>
      <c r="C36" s="493" t="str">
        <f>Nebenrechnungen!D61</f>
        <v xml:space="preserve"> </v>
      </c>
      <c r="D36" s="493" t="str">
        <f>Nebenrechnungen!E61</f>
        <v xml:space="preserve"> </v>
      </c>
      <c r="F36" s="727" t="str">
        <f>IF(ISBLANK(Nebenrechnungen!F61),"",Nebenrechnungen!F61)</f>
        <v/>
      </c>
      <c r="G36" s="493" t="str">
        <f>Nebenrechnungen!G61</f>
        <v/>
      </c>
      <c r="H36" s="499">
        <f>Nebenrechnungen!H61</f>
        <v>0</v>
      </c>
      <c r="I36" s="470" t="str">
        <f>IF(AND(F36&gt;0,G36&lt;=4),"ERFÜLLT",IF(F36=0," ","nicht erfüllt"))</f>
        <v>nicht erfüllt</v>
      </c>
      <c r="J36" s="470" t="str">
        <f>IF(AND(F36&gt;0,G36&lt;4),"ERFÜLLT",IF(F36=0," ","nicht erfüllt"))</f>
        <v>nicht erfüllt</v>
      </c>
      <c r="K36" s="470" t="str">
        <f>IF(AND(F36&gt;0,G36&lt;4),"ERFÜLLT",IF(F36=0," ","nicht erfüllt"))</f>
        <v>nicht erfüllt</v>
      </c>
    </row>
    <row r="37" spans="1:11" ht="13">
      <c r="A37" s="498" t="s">
        <v>365</v>
      </c>
      <c r="B37" s="491" t="s">
        <v>445</v>
      </c>
      <c r="C37" s="493" t="str">
        <f>Nebenrechnungen!D62</f>
        <v xml:space="preserve"> </v>
      </c>
      <c r="D37" s="493" t="str">
        <f>Nebenrechnungen!E62</f>
        <v xml:space="preserve"> </v>
      </c>
      <c r="F37" s="727" t="str">
        <f>IF(ISBLANK(Nebenrechnungen!F62),"",Nebenrechnungen!F62)</f>
        <v/>
      </c>
      <c r="G37" s="493" t="str">
        <f>Nebenrechnungen!G62</f>
        <v/>
      </c>
      <c r="H37" s="499">
        <f>Nebenrechnungen!H62</f>
        <v>0</v>
      </c>
      <c r="I37" s="470" t="str">
        <f t="shared" ref="I37:I50" si="3">IF(AND(F37&gt;0,G37&lt;=4),"ERFÜLLT",IF(F37=0," ","nicht erfüllt"))</f>
        <v>nicht erfüllt</v>
      </c>
      <c r="J37" s="470" t="str">
        <f t="shared" ref="J37:J50" si="4">IF(AND(F37&gt;0,G37&lt;4),"ERFÜLLT",IF(F37=0," ","nicht erfüllt"))</f>
        <v>nicht erfüllt</v>
      </c>
      <c r="K37" s="470" t="str">
        <f t="shared" ref="K37:K50" si="5">IF(AND(F37&gt;0,G37&lt;4),"ERFÜLLT",IF(F37=0," ","nicht erfüllt"))</f>
        <v>nicht erfüllt</v>
      </c>
    </row>
    <row r="38" spans="1:11" ht="13">
      <c r="A38" s="498" t="s">
        <v>366</v>
      </c>
      <c r="B38" s="491" t="s">
        <v>445</v>
      </c>
      <c r="C38" s="493" t="str">
        <f>Nebenrechnungen!D63</f>
        <v xml:space="preserve"> </v>
      </c>
      <c r="D38" s="493" t="str">
        <f>Nebenrechnungen!E63</f>
        <v xml:space="preserve"> </v>
      </c>
      <c r="F38" s="727" t="str">
        <f>IF(ISBLANK(Nebenrechnungen!F63),"",Nebenrechnungen!F63)</f>
        <v/>
      </c>
      <c r="G38" s="493" t="str">
        <f>Nebenrechnungen!G63</f>
        <v/>
      </c>
      <c r="H38" s="499">
        <f>Nebenrechnungen!H63</f>
        <v>0</v>
      </c>
      <c r="I38" s="470" t="str">
        <f t="shared" si="3"/>
        <v>nicht erfüllt</v>
      </c>
      <c r="J38" s="470" t="str">
        <f t="shared" si="4"/>
        <v>nicht erfüllt</v>
      </c>
      <c r="K38" s="470" t="str">
        <f t="shared" si="5"/>
        <v>nicht erfüllt</v>
      </c>
    </row>
    <row r="39" spans="1:11" ht="13">
      <c r="A39" s="498" t="s">
        <v>367</v>
      </c>
      <c r="B39" s="491" t="s">
        <v>445</v>
      </c>
      <c r="C39" s="493" t="str">
        <f>Nebenrechnungen!D64</f>
        <v xml:space="preserve"> </v>
      </c>
      <c r="D39" s="493" t="str">
        <f>Nebenrechnungen!E64</f>
        <v xml:space="preserve"> </v>
      </c>
      <c r="F39" s="727" t="str">
        <f>IF(ISBLANK(Nebenrechnungen!F64),"",Nebenrechnungen!F64)</f>
        <v/>
      </c>
      <c r="G39" s="493" t="str">
        <f>Nebenrechnungen!G64</f>
        <v/>
      </c>
      <c r="H39" s="499">
        <f>Nebenrechnungen!H64</f>
        <v>0</v>
      </c>
      <c r="I39" s="470" t="str">
        <f t="shared" si="3"/>
        <v>nicht erfüllt</v>
      </c>
      <c r="J39" s="470" t="str">
        <f t="shared" si="4"/>
        <v>nicht erfüllt</v>
      </c>
      <c r="K39" s="470" t="str">
        <f t="shared" si="5"/>
        <v>nicht erfüllt</v>
      </c>
    </row>
    <row r="40" spans="1:11" ht="13">
      <c r="A40" s="498" t="s">
        <v>368</v>
      </c>
      <c r="B40" s="491" t="s">
        <v>445</v>
      </c>
      <c r="C40" s="493" t="str">
        <f>Nebenrechnungen!D65</f>
        <v xml:space="preserve"> </v>
      </c>
      <c r="D40" s="493" t="str">
        <f>Nebenrechnungen!E65</f>
        <v xml:space="preserve"> </v>
      </c>
      <c r="F40" s="727" t="str">
        <f>IF(ISBLANK(Nebenrechnungen!F65),"",Nebenrechnungen!F65)</f>
        <v/>
      </c>
      <c r="G40" s="493" t="str">
        <f>Nebenrechnungen!G65</f>
        <v/>
      </c>
      <c r="H40" s="499">
        <f>Nebenrechnungen!H65</f>
        <v>0</v>
      </c>
      <c r="I40" s="470" t="str">
        <f t="shared" si="3"/>
        <v>nicht erfüllt</v>
      </c>
      <c r="J40" s="470" t="str">
        <f t="shared" si="4"/>
        <v>nicht erfüllt</v>
      </c>
      <c r="K40" s="470" t="str">
        <f t="shared" si="5"/>
        <v>nicht erfüllt</v>
      </c>
    </row>
    <row r="41" spans="1:11" ht="13">
      <c r="A41" s="498" t="s">
        <v>369</v>
      </c>
      <c r="B41" s="491" t="s">
        <v>445</v>
      </c>
      <c r="C41" s="493" t="str">
        <f>Nebenrechnungen!D66</f>
        <v xml:space="preserve"> </v>
      </c>
      <c r="D41" s="493" t="str">
        <f>Nebenrechnungen!E66</f>
        <v xml:space="preserve"> </v>
      </c>
      <c r="F41" s="727" t="str">
        <f>IF(ISBLANK(Nebenrechnungen!F66),"",Nebenrechnungen!F66)</f>
        <v/>
      </c>
      <c r="G41" s="493" t="str">
        <f>Nebenrechnungen!G66</f>
        <v/>
      </c>
      <c r="H41" s="499">
        <f>Nebenrechnungen!H66</f>
        <v>0</v>
      </c>
      <c r="I41" s="470" t="str">
        <f t="shared" si="3"/>
        <v>nicht erfüllt</v>
      </c>
      <c r="J41" s="470" t="str">
        <f t="shared" si="4"/>
        <v>nicht erfüllt</v>
      </c>
      <c r="K41" s="470" t="str">
        <f t="shared" si="5"/>
        <v>nicht erfüllt</v>
      </c>
    </row>
    <row r="42" spans="1:11" ht="13">
      <c r="A42" s="498" t="s">
        <v>370</v>
      </c>
      <c r="B42" s="491" t="s">
        <v>445</v>
      </c>
      <c r="C42" s="493" t="str">
        <f>Nebenrechnungen!D67</f>
        <v xml:space="preserve"> </v>
      </c>
      <c r="D42" s="493" t="str">
        <f>Nebenrechnungen!E67</f>
        <v xml:space="preserve"> </v>
      </c>
      <c r="F42" s="727" t="str">
        <f>IF(ISBLANK(Nebenrechnungen!F67),"",Nebenrechnungen!F67)</f>
        <v/>
      </c>
      <c r="G42" s="493" t="str">
        <f>Nebenrechnungen!G67</f>
        <v/>
      </c>
      <c r="H42" s="499">
        <f>Nebenrechnungen!H67</f>
        <v>0</v>
      </c>
      <c r="I42" s="470" t="str">
        <f t="shared" si="3"/>
        <v>nicht erfüllt</v>
      </c>
      <c r="J42" s="470" t="str">
        <f t="shared" si="4"/>
        <v>nicht erfüllt</v>
      </c>
      <c r="K42" s="470" t="str">
        <f t="shared" si="5"/>
        <v>nicht erfüllt</v>
      </c>
    </row>
    <row r="43" spans="1:11" ht="13">
      <c r="A43" s="498" t="s">
        <v>371</v>
      </c>
      <c r="B43" s="491" t="s">
        <v>445</v>
      </c>
      <c r="C43" s="493" t="str">
        <f>Nebenrechnungen!D68</f>
        <v xml:space="preserve"> </v>
      </c>
      <c r="D43" s="493" t="str">
        <f>Nebenrechnungen!E68</f>
        <v xml:space="preserve"> </v>
      </c>
      <c r="F43" s="727" t="str">
        <f>IF(ISBLANK(Nebenrechnungen!F68),"",Nebenrechnungen!F68)</f>
        <v/>
      </c>
      <c r="G43" s="493" t="str">
        <f>Nebenrechnungen!G68</f>
        <v/>
      </c>
      <c r="H43" s="499">
        <f>Nebenrechnungen!H68</f>
        <v>0</v>
      </c>
      <c r="I43" s="470" t="str">
        <f t="shared" si="3"/>
        <v>nicht erfüllt</v>
      </c>
      <c r="J43" s="470" t="str">
        <f t="shared" si="4"/>
        <v>nicht erfüllt</v>
      </c>
      <c r="K43" s="470" t="str">
        <f t="shared" si="5"/>
        <v>nicht erfüllt</v>
      </c>
    </row>
    <row r="44" spans="1:11" ht="13">
      <c r="A44" s="498" t="s">
        <v>372</v>
      </c>
      <c r="B44" s="491" t="s">
        <v>445</v>
      </c>
      <c r="C44" s="493" t="str">
        <f>Nebenrechnungen!D69</f>
        <v xml:space="preserve"> </v>
      </c>
      <c r="D44" s="493" t="str">
        <f>Nebenrechnungen!E69</f>
        <v xml:space="preserve"> </v>
      </c>
      <c r="F44" s="727" t="str">
        <f>IF(ISBLANK(Nebenrechnungen!F69),"",Nebenrechnungen!F69)</f>
        <v/>
      </c>
      <c r="G44" s="493" t="str">
        <f>Nebenrechnungen!G69</f>
        <v/>
      </c>
      <c r="H44" s="499">
        <f>Nebenrechnungen!H69</f>
        <v>0</v>
      </c>
      <c r="I44" s="470" t="str">
        <f t="shared" si="3"/>
        <v>nicht erfüllt</v>
      </c>
      <c r="J44" s="470" t="str">
        <f t="shared" si="4"/>
        <v>nicht erfüllt</v>
      </c>
      <c r="K44" s="470" t="str">
        <f t="shared" si="5"/>
        <v>nicht erfüllt</v>
      </c>
    </row>
    <row r="45" spans="1:11" ht="13">
      <c r="A45" s="498" t="s">
        <v>373</v>
      </c>
      <c r="B45" s="491" t="s">
        <v>445</v>
      </c>
      <c r="C45" s="493" t="str">
        <f>Nebenrechnungen!D70</f>
        <v xml:space="preserve"> </v>
      </c>
      <c r="D45" s="493" t="str">
        <f>Nebenrechnungen!E70</f>
        <v xml:space="preserve"> </v>
      </c>
      <c r="F45" s="727" t="str">
        <f>IF(ISBLANK(Nebenrechnungen!F70),"",Nebenrechnungen!F70)</f>
        <v/>
      </c>
      <c r="G45" s="493" t="str">
        <f>Nebenrechnungen!G70</f>
        <v/>
      </c>
      <c r="H45" s="499">
        <f>Nebenrechnungen!H70</f>
        <v>0</v>
      </c>
      <c r="I45" s="470" t="str">
        <f t="shared" si="3"/>
        <v>nicht erfüllt</v>
      </c>
      <c r="J45" s="470" t="str">
        <f t="shared" si="4"/>
        <v>nicht erfüllt</v>
      </c>
      <c r="K45" s="470" t="str">
        <f t="shared" si="5"/>
        <v>nicht erfüllt</v>
      </c>
    </row>
    <row r="46" spans="1:11" ht="13">
      <c r="A46" s="498" t="s">
        <v>374</v>
      </c>
      <c r="B46" s="491" t="s">
        <v>445</v>
      </c>
      <c r="C46" s="493" t="str">
        <f>Nebenrechnungen!D71</f>
        <v xml:space="preserve"> </v>
      </c>
      <c r="D46" s="493" t="str">
        <f>Nebenrechnungen!E71</f>
        <v xml:space="preserve"> </v>
      </c>
      <c r="F46" s="727" t="str">
        <f>IF(ISBLANK(Nebenrechnungen!F71),"",Nebenrechnungen!F71)</f>
        <v/>
      </c>
      <c r="G46" s="493" t="str">
        <f>Nebenrechnungen!G71</f>
        <v/>
      </c>
      <c r="H46" s="499">
        <f>Nebenrechnungen!H71</f>
        <v>0</v>
      </c>
      <c r="I46" s="470" t="str">
        <f t="shared" si="3"/>
        <v>nicht erfüllt</v>
      </c>
      <c r="J46" s="470" t="str">
        <f t="shared" si="4"/>
        <v>nicht erfüllt</v>
      </c>
      <c r="K46" s="470" t="str">
        <f t="shared" si="5"/>
        <v>nicht erfüllt</v>
      </c>
    </row>
    <row r="47" spans="1:11" ht="13">
      <c r="A47" s="498" t="s">
        <v>375</v>
      </c>
      <c r="B47" s="491" t="s">
        <v>445</v>
      </c>
      <c r="C47" s="493" t="str">
        <f>Nebenrechnungen!D72</f>
        <v xml:space="preserve"> </v>
      </c>
      <c r="D47" s="493" t="str">
        <f>Nebenrechnungen!E72</f>
        <v xml:space="preserve"> </v>
      </c>
      <c r="F47" s="727" t="str">
        <f>IF(ISBLANK(Nebenrechnungen!F72),"",Nebenrechnungen!F72)</f>
        <v/>
      </c>
      <c r="G47" s="493" t="str">
        <f>Nebenrechnungen!G72</f>
        <v/>
      </c>
      <c r="H47" s="499">
        <f>Nebenrechnungen!H72</f>
        <v>0</v>
      </c>
      <c r="I47" s="470" t="str">
        <f t="shared" si="3"/>
        <v>nicht erfüllt</v>
      </c>
      <c r="J47" s="470" t="str">
        <f t="shared" si="4"/>
        <v>nicht erfüllt</v>
      </c>
      <c r="K47" s="470" t="str">
        <f t="shared" si="5"/>
        <v>nicht erfüllt</v>
      </c>
    </row>
    <row r="48" spans="1:11" ht="13">
      <c r="A48" s="498" t="s">
        <v>376</v>
      </c>
      <c r="B48" s="491" t="s">
        <v>445</v>
      </c>
      <c r="C48" s="493" t="str">
        <f>Nebenrechnungen!D73</f>
        <v xml:space="preserve"> </v>
      </c>
      <c r="D48" s="493" t="str">
        <f>Nebenrechnungen!E73</f>
        <v xml:space="preserve"> </v>
      </c>
      <c r="F48" s="727" t="str">
        <f>IF(ISBLANK(Nebenrechnungen!F73),"",Nebenrechnungen!F73)</f>
        <v/>
      </c>
      <c r="G48" s="493" t="str">
        <f>Nebenrechnungen!G73</f>
        <v/>
      </c>
      <c r="H48" s="499">
        <f>Nebenrechnungen!H73</f>
        <v>0</v>
      </c>
      <c r="I48" s="470" t="str">
        <f t="shared" si="3"/>
        <v>nicht erfüllt</v>
      </c>
      <c r="J48" s="470" t="str">
        <f t="shared" si="4"/>
        <v>nicht erfüllt</v>
      </c>
      <c r="K48" s="470" t="str">
        <f t="shared" si="5"/>
        <v>nicht erfüllt</v>
      </c>
    </row>
    <row r="49" spans="1:11" ht="13">
      <c r="A49" s="498" t="s">
        <v>377</v>
      </c>
      <c r="B49" s="491" t="s">
        <v>445</v>
      </c>
      <c r="C49" s="493" t="str">
        <f>Nebenrechnungen!D74</f>
        <v xml:space="preserve"> </v>
      </c>
      <c r="D49" s="493" t="str">
        <f>Nebenrechnungen!E74</f>
        <v xml:space="preserve"> </v>
      </c>
      <c r="F49" s="727" t="str">
        <f>IF(ISBLANK(Nebenrechnungen!F74),"",Nebenrechnungen!F74)</f>
        <v/>
      </c>
      <c r="G49" s="493" t="str">
        <f>Nebenrechnungen!G74</f>
        <v/>
      </c>
      <c r="H49" s="499">
        <f>Nebenrechnungen!H74</f>
        <v>0</v>
      </c>
      <c r="I49" s="470" t="str">
        <f t="shared" si="3"/>
        <v>nicht erfüllt</v>
      </c>
      <c r="J49" s="470" t="str">
        <f t="shared" si="4"/>
        <v>nicht erfüllt</v>
      </c>
      <c r="K49" s="470" t="str">
        <f t="shared" si="5"/>
        <v>nicht erfüllt</v>
      </c>
    </row>
    <row r="50" spans="1:11" ht="13.5" thickBot="1">
      <c r="A50" s="498" t="s">
        <v>378</v>
      </c>
      <c r="B50" s="491" t="s">
        <v>445</v>
      </c>
      <c r="C50" s="493" t="str">
        <f>Nebenrechnungen!D75</f>
        <v xml:space="preserve"> </v>
      </c>
      <c r="D50" s="493" t="str">
        <f>Nebenrechnungen!E75</f>
        <v xml:space="preserve"> </v>
      </c>
      <c r="F50" s="727" t="str">
        <f>IF(ISBLANK(Nebenrechnungen!F75),"",Nebenrechnungen!F75)</f>
        <v/>
      </c>
      <c r="G50" s="493" t="str">
        <f>Nebenrechnungen!G75</f>
        <v/>
      </c>
      <c r="H50" s="499">
        <f>Nebenrechnungen!H75</f>
        <v>0</v>
      </c>
      <c r="I50" s="470" t="str">
        <f t="shared" si="3"/>
        <v>nicht erfüllt</v>
      </c>
      <c r="J50" s="470" t="str">
        <f t="shared" si="4"/>
        <v>nicht erfüllt</v>
      </c>
      <c r="K50" s="470" t="str">
        <f t="shared" si="5"/>
        <v>nicht erfüllt</v>
      </c>
    </row>
    <row r="51" spans="1:11" ht="14.5" thickBot="1">
      <c r="A51" s="1568" t="s">
        <v>122</v>
      </c>
      <c r="B51" s="1569"/>
      <c r="C51" s="1569"/>
      <c r="D51" s="496" t="str">
        <f>IF(SUM(D36:D50)&gt;0,SUM(D36:D50)," ")</f>
        <v xml:space="preserve"> </v>
      </c>
      <c r="E51" s="497"/>
      <c r="F51" s="729"/>
      <c r="G51" s="496"/>
      <c r="H51" s="497" t="str">
        <f>IF(SUM(H36:H50)&gt;0,SUM(H36:H50)," ")</f>
        <v xml:space="preserve"> </v>
      </c>
      <c r="I51" s="98">
        <f>COUNTIF(I36:I50,"ERFÜLLT")</f>
        <v>0</v>
      </c>
      <c r="J51" s="98">
        <f>COUNTIF(J36:J50,"ERFÜLLT")</f>
        <v>0</v>
      </c>
      <c r="K51" s="98">
        <f>COUNTIF(K36:K50,"ERFÜLLT")</f>
        <v>0</v>
      </c>
    </row>
    <row r="55" spans="1:11">
      <c r="I55" s="250"/>
    </row>
  </sheetData>
  <sheetProtection algorithmName="SHA-512" hashValue="WDoDMs8REaVpJ5vnthVOuxklaml5HzUJN5dnsN8VJup+XOU1VidMk/4gaXDzglFKzb9PCbAHxsYILi8270Jf7w==" saltValue="tmiBn8kbvdXSHixqNtOseg==" spinCount="100000" sheet="1" objects="1" scenarios="1"/>
  <protectedRanges>
    <protectedRange sqref="F4:F13" name="Bereich1"/>
  </protectedRanges>
  <mergeCells count="10">
    <mergeCell ref="A51:C51"/>
    <mergeCell ref="A1:D1"/>
    <mergeCell ref="D4:D8"/>
    <mergeCell ref="D10:D13"/>
    <mergeCell ref="A35:C35"/>
    <mergeCell ref="A17:C17"/>
    <mergeCell ref="A14:C14"/>
    <mergeCell ref="A3:C3"/>
    <mergeCell ref="A33:C33"/>
    <mergeCell ref="A9:D9"/>
  </mergeCells>
  <pageMargins left="0.59055118110236238" right="0.59055118110236238" top="0.59055118110236238" bottom="0.59055118110236238" header="0.31496062992125984" footer="0.31496062992125984"/>
  <pageSetup paperSize="9" scale="5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6">
    <pageSetUpPr fitToPage="1"/>
  </sheetPr>
  <dimension ref="A1:O20"/>
  <sheetViews>
    <sheetView zoomScale="80" zoomScaleNormal="80" workbookViewId="0">
      <selection activeCell="B12" sqref="B12"/>
    </sheetView>
  </sheetViews>
  <sheetFormatPr baseColWidth="10" defaultColWidth="11.36328125" defaultRowHeight="12.5"/>
  <cols>
    <col min="1" max="1" width="71.36328125" style="98" customWidth="1"/>
    <col min="2" max="2" width="23.81640625" style="98" customWidth="1"/>
    <col min="3" max="3" width="30.26953125" style="166" customWidth="1"/>
    <col min="4" max="4" width="2.7265625" style="98" customWidth="1"/>
    <col min="5" max="5" width="11.36328125" style="98" hidden="1" customWidth="1"/>
    <col min="6" max="6" width="35.26953125" style="98" hidden="1" customWidth="1"/>
    <col min="7" max="7" width="16.26953125" style="98" hidden="1" customWidth="1"/>
    <col min="8" max="8" width="16" style="98" hidden="1" customWidth="1"/>
    <col min="9" max="14" width="11.36328125" style="98" hidden="1" customWidth="1"/>
    <col min="15" max="16384" width="11.36328125" style="98"/>
  </cols>
  <sheetData>
    <row r="1" spans="1:15" ht="36" customHeight="1" thickBot="1">
      <c r="A1" s="1322" t="s">
        <v>764</v>
      </c>
      <c r="B1" s="1322"/>
      <c r="C1" s="112"/>
      <c r="D1" s="104"/>
      <c r="F1" s="1582" t="s">
        <v>56</v>
      </c>
      <c r="G1" s="1583"/>
      <c r="H1" s="1584"/>
      <c r="K1" s="1582" t="s">
        <v>56</v>
      </c>
      <c r="L1" s="1583"/>
      <c r="M1" s="1584"/>
    </row>
    <row r="2" spans="1:15" ht="3.75" customHeight="1" thickBot="1">
      <c r="A2" s="165"/>
      <c r="B2" s="99"/>
    </row>
    <row r="3" spans="1:15" s="101" customFormat="1" ht="30.75" customHeight="1" thickBot="1">
      <c r="A3" s="923" t="s">
        <v>748</v>
      </c>
      <c r="B3" s="924" t="s">
        <v>52</v>
      </c>
      <c r="C3" s="897" t="s">
        <v>53</v>
      </c>
      <c r="F3" s="274"/>
      <c r="G3" s="275" t="s">
        <v>278</v>
      </c>
      <c r="H3" s="276" t="s">
        <v>52</v>
      </c>
      <c r="K3" s="274"/>
      <c r="L3" s="275" t="s">
        <v>278</v>
      </c>
      <c r="M3" s="276" t="s">
        <v>52</v>
      </c>
      <c r="N3" s="98"/>
      <c r="O3" s="98"/>
    </row>
    <row r="4" spans="1:15" s="101" customFormat="1" ht="30.75" customHeight="1">
      <c r="A4" s="925" t="s">
        <v>747</v>
      </c>
      <c r="B4" s="920"/>
      <c r="C4" s="430"/>
      <c r="E4" s="101" t="s">
        <v>628</v>
      </c>
      <c r="F4" s="277" t="s">
        <v>380</v>
      </c>
      <c r="G4" s="278">
        <v>700</v>
      </c>
      <c r="H4" s="279">
        <v>0</v>
      </c>
      <c r="K4" s="277" t="s">
        <v>384</v>
      </c>
      <c r="L4" s="323">
        <v>650</v>
      </c>
      <c r="M4" s="279">
        <v>0</v>
      </c>
      <c r="N4" s="98"/>
      <c r="O4" s="98"/>
    </row>
    <row r="5" spans="1:15" s="101" customFormat="1" ht="30.75" customHeight="1" thickBot="1">
      <c r="A5" s="704" t="s">
        <v>756</v>
      </c>
      <c r="B5" s="431"/>
      <c r="C5" s="240"/>
      <c r="E5" s="101" t="s">
        <v>381</v>
      </c>
      <c r="F5" s="277"/>
      <c r="G5" s="278"/>
      <c r="H5" s="279"/>
      <c r="K5" s="277"/>
      <c r="L5" s="278"/>
      <c r="M5" s="279"/>
      <c r="N5" s="98"/>
      <c r="O5" s="98"/>
    </row>
    <row r="6" spans="1:15" s="102" customFormat="1" ht="30.75" customHeight="1" thickBot="1">
      <c r="A6" s="525" t="s">
        <v>627</v>
      </c>
      <c r="B6" s="526">
        <f>IF(B4="",0,IF(B4&lt;=G6,H6,IF(B4&gt;G4,0,H6+(H4-H6)/(G4-G6)*(B4-G6))))</f>
        <v>0</v>
      </c>
      <c r="C6" s="322"/>
      <c r="F6" s="277" t="s">
        <v>382</v>
      </c>
      <c r="G6" s="278">
        <v>150</v>
      </c>
      <c r="H6" s="321">
        <v>120</v>
      </c>
      <c r="I6" s="102" t="s">
        <v>383</v>
      </c>
      <c r="K6" s="277" t="s">
        <v>385</v>
      </c>
      <c r="L6" s="278">
        <v>50</v>
      </c>
      <c r="M6" s="321">
        <v>55</v>
      </c>
      <c r="N6" s="98" t="s">
        <v>381</v>
      </c>
      <c r="O6" s="98"/>
    </row>
    <row r="7" spans="1:15" ht="30.75" customHeight="1" thickBot="1">
      <c r="A7" s="527" t="s">
        <v>457</v>
      </c>
      <c r="B7" s="528">
        <f>IF(B5="",0,IF(B5&lt;=L6,M6,IF(B5&gt;L4,0,M6+(M4-M6)/(L4-L6)*(B5-L6))))</f>
        <v>0</v>
      </c>
    </row>
    <row r="8" spans="1:15" ht="30.75" customHeight="1" thickBot="1">
      <c r="A8" s="168" t="s">
        <v>629</v>
      </c>
      <c r="B8" s="169">
        <f>SUM(B6:B7)</f>
        <v>0</v>
      </c>
      <c r="C8" s="795"/>
      <c r="D8" s="101"/>
      <c r="E8" s="101"/>
      <c r="F8" s="274"/>
      <c r="G8" s="275"/>
      <c r="H8" s="276"/>
    </row>
    <row r="10" spans="1:15" ht="16" thickBot="1">
      <c r="A10" s="165"/>
      <c r="B10" s="99"/>
    </row>
    <row r="11" spans="1:15" s="101" customFormat="1" ht="30" customHeight="1" thickBot="1">
      <c r="A11" s="921" t="s">
        <v>749</v>
      </c>
      <c r="B11" s="960" t="s">
        <v>52</v>
      </c>
      <c r="C11" s="897" t="s">
        <v>53</v>
      </c>
      <c r="F11" s="274" t="s">
        <v>56</v>
      </c>
      <c r="G11" s="275"/>
      <c r="H11" s="276"/>
      <c r="K11" s="274"/>
      <c r="L11" s="275"/>
      <c r="M11" s="276"/>
      <c r="N11" s="98"/>
      <c r="O11" s="98"/>
    </row>
    <row r="12" spans="1:15" s="101" customFormat="1" ht="30" customHeight="1" thickBot="1">
      <c r="A12" s="959" t="s">
        <v>757</v>
      </c>
      <c r="B12" s="962"/>
      <c r="C12" s="430"/>
      <c r="F12" s="277"/>
      <c r="G12" s="278"/>
      <c r="H12" s="279"/>
      <c r="K12" s="277"/>
      <c r="L12" s="323"/>
      <c r="M12" s="279"/>
      <c r="N12" s="98"/>
      <c r="O12" s="98"/>
    </row>
    <row r="13" spans="1:15" ht="30" customHeight="1" thickBot="1">
      <c r="A13" s="168" t="s">
        <v>465</v>
      </c>
      <c r="B13" s="961">
        <f>IF(B12="",0,IF(B12&lt;=G15,H15,IF(B12&gt;G14,0,H14+(H15/(G15-G14)*(B12-G14)))))</f>
        <v>0</v>
      </c>
      <c r="C13" s="170"/>
      <c r="D13" s="101"/>
      <c r="E13" s="101"/>
      <c r="F13" s="274"/>
      <c r="G13" s="275" t="s">
        <v>278</v>
      </c>
      <c r="H13" s="276" t="s">
        <v>52</v>
      </c>
    </row>
    <row r="14" spans="1:15" ht="19.5" customHeight="1">
      <c r="D14" s="101"/>
      <c r="E14" s="101"/>
      <c r="F14" s="277" t="s">
        <v>386</v>
      </c>
      <c r="G14" s="278">
        <v>20</v>
      </c>
      <c r="H14" s="279">
        <v>0</v>
      </c>
    </row>
    <row r="15" spans="1:15" ht="16" thickBot="1">
      <c r="A15" s="165"/>
      <c r="B15" s="99"/>
      <c r="D15" s="102"/>
      <c r="E15" s="102"/>
      <c r="F15" s="277" t="s">
        <v>387</v>
      </c>
      <c r="G15" s="278">
        <v>8</v>
      </c>
      <c r="H15" s="279">
        <v>55</v>
      </c>
    </row>
    <row r="16" spans="1:15" s="101" customFormat="1" ht="30" customHeight="1" thickBot="1">
      <c r="A16" s="921" t="s">
        <v>750</v>
      </c>
      <c r="B16" s="922" t="s">
        <v>52</v>
      </c>
      <c r="C16" s="897" t="s">
        <v>53</v>
      </c>
      <c r="F16" s="274"/>
      <c r="G16" s="275"/>
      <c r="H16" s="276"/>
      <c r="K16" s="274"/>
      <c r="L16" s="275"/>
      <c r="M16" s="276"/>
      <c r="N16" s="98"/>
      <c r="O16" s="98"/>
    </row>
    <row r="17" spans="1:8" ht="30" customHeight="1" thickBot="1">
      <c r="A17" s="168" t="s">
        <v>461</v>
      </c>
      <c r="B17" s="169">
        <f>IF((B6+B7+B13)&lt;205,B6+B7+B13,"205")</f>
        <v>0</v>
      </c>
      <c r="C17" s="430"/>
      <c r="D17" s="101"/>
      <c r="E17" s="101"/>
      <c r="F17" s="274"/>
      <c r="G17" s="275"/>
      <c r="H17" s="276"/>
    </row>
    <row r="20" spans="1:8" ht="22.5" customHeight="1"/>
  </sheetData>
  <sheetProtection algorithmName="SHA-512" hashValue="FnDKO9RQuQ4sJc1gUMU5WqRaIwfNDwsVM6t4VOldjxfpXakCIuXq+FTRDQ9/0leYcJRBOOeyCpDzyBz6jcXvSA==" saltValue="sl146XBK7kCQMXQjfngN+Q==" spinCount="100000" sheet="1" selectLockedCells="1"/>
  <protectedRanges>
    <protectedRange sqref="C17" name="Bereich3"/>
    <protectedRange sqref="C4:C5" name="Bereich2"/>
    <protectedRange sqref="B12:C12" name="Bereich1_2"/>
  </protectedRanges>
  <mergeCells count="3">
    <mergeCell ref="K1:M1"/>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C41"/>
  <sheetViews>
    <sheetView zoomScaleNormal="100" workbookViewId="0">
      <selection activeCell="G17" sqref="G17"/>
    </sheetView>
  </sheetViews>
  <sheetFormatPr baseColWidth="10" defaultColWidth="11.36328125" defaultRowHeight="12.5"/>
  <cols>
    <col min="1" max="1" width="43" customWidth="1"/>
    <col min="2" max="2" width="47.08984375" customWidth="1"/>
    <col min="3" max="3" width="0" hidden="1" customWidth="1"/>
  </cols>
  <sheetData>
    <row r="1" spans="1:3" ht="27.75" customHeight="1">
      <c r="A1" s="1242" t="s">
        <v>630</v>
      </c>
      <c r="B1" s="1242"/>
      <c r="C1" s="15" t="s">
        <v>28</v>
      </c>
    </row>
    <row r="2" spans="1:3" ht="15.75" customHeight="1">
      <c r="A2" s="1242"/>
      <c r="B2" s="1242"/>
    </row>
    <row r="3" spans="1:3">
      <c r="A3" s="1242"/>
      <c r="B3" s="1242"/>
    </row>
    <row r="4" spans="1:3">
      <c r="A4" s="1242"/>
      <c r="B4" s="1242"/>
    </row>
    <row r="5" spans="1:3">
      <c r="A5" s="1242"/>
      <c r="B5" s="1242"/>
    </row>
    <row r="6" spans="1:3">
      <c r="A6" s="1242"/>
      <c r="B6" s="1242"/>
    </row>
    <row r="7" spans="1:3">
      <c r="A7" s="171"/>
      <c r="B7" s="171"/>
    </row>
    <row r="8" spans="1:3">
      <c r="A8" s="171"/>
      <c r="B8" s="171"/>
    </row>
    <row r="9" spans="1:3" ht="7.5" customHeight="1">
      <c r="A9" s="171"/>
      <c r="B9" s="171"/>
    </row>
    <row r="10" spans="1:3" ht="20">
      <c r="A10" s="1243" t="s">
        <v>0</v>
      </c>
      <c r="B10" s="1243"/>
    </row>
    <row r="11" spans="1:3" ht="5.25" customHeight="1">
      <c r="A11" s="171"/>
      <c r="B11" s="171"/>
    </row>
    <row r="12" spans="1:3" ht="20.25" customHeight="1">
      <c r="A12" s="172" t="s">
        <v>1</v>
      </c>
      <c r="B12" s="178"/>
    </row>
    <row r="13" spans="1:3" ht="20.25" customHeight="1">
      <c r="A13" s="172" t="s">
        <v>29</v>
      </c>
      <c r="B13" s="177"/>
    </row>
    <row r="14" spans="1:3" ht="20.25" customHeight="1">
      <c r="A14" s="172" t="s">
        <v>8</v>
      </c>
      <c r="B14" s="177"/>
    </row>
    <row r="15" spans="1:3" ht="20.25" customHeight="1">
      <c r="A15" s="172" t="s">
        <v>30</v>
      </c>
      <c r="B15" s="177"/>
    </row>
    <row r="16" spans="1:3" ht="20.25" customHeight="1">
      <c r="A16" s="172" t="s">
        <v>10</v>
      </c>
      <c r="B16" s="176"/>
    </row>
    <row r="17" spans="1:3" ht="20.25" customHeight="1">
      <c r="A17" s="172" t="s">
        <v>11</v>
      </c>
      <c r="B17" s="176"/>
    </row>
    <row r="18" spans="1:3" ht="18.75" customHeight="1">
      <c r="A18" s="173" t="s">
        <v>31</v>
      </c>
      <c r="B18" s="174">
        <f>('Punktevergabe LNB'!F8)</f>
        <v>0</v>
      </c>
      <c r="C18">
        <v>-30</v>
      </c>
    </row>
    <row r="19" spans="1:3" ht="9.75" customHeight="1">
      <c r="A19" s="171"/>
      <c r="B19" s="171"/>
      <c r="C19">
        <v>-50</v>
      </c>
    </row>
    <row r="20" spans="1:3" ht="20">
      <c r="A20" s="1244" t="s">
        <v>32</v>
      </c>
      <c r="B20" s="1244"/>
      <c r="C20">
        <v>-60</v>
      </c>
    </row>
    <row r="21" spans="1:3" ht="8.25" customHeight="1">
      <c r="A21" s="171"/>
      <c r="B21" s="171"/>
      <c r="C21">
        <v>-70</v>
      </c>
    </row>
    <row r="22" spans="1:3" ht="30" customHeight="1">
      <c r="A22" s="175" t="s">
        <v>33</v>
      </c>
      <c r="B22" s="177"/>
    </row>
    <row r="23" spans="1:3" ht="20.25" customHeight="1">
      <c r="A23" s="175" t="s">
        <v>34</v>
      </c>
      <c r="B23" s="177"/>
    </row>
    <row r="24" spans="1:3" ht="20.25" customHeight="1">
      <c r="A24" s="175" t="s">
        <v>35</v>
      </c>
      <c r="B24" s="176"/>
    </row>
    <row r="25" spans="1:3" ht="10.5" customHeight="1">
      <c r="A25" s="171"/>
      <c r="B25" s="171"/>
    </row>
    <row r="26" spans="1:3">
      <c r="A26" s="1251" t="s">
        <v>36</v>
      </c>
      <c r="B26" s="1252"/>
    </row>
    <row r="27" spans="1:3">
      <c r="A27" s="1253"/>
      <c r="B27" s="1254"/>
    </row>
    <row r="28" spans="1:3">
      <c r="A28" s="1253"/>
      <c r="B28" s="1254"/>
    </row>
    <row r="29" spans="1:3">
      <c r="A29" s="1253"/>
      <c r="B29" s="1254"/>
    </row>
    <row r="30" spans="1:3">
      <c r="A30" s="1253"/>
      <c r="B30" s="1254"/>
    </row>
    <row r="31" spans="1:3">
      <c r="A31" s="1253"/>
      <c r="B31" s="1254"/>
    </row>
    <row r="32" spans="1:3">
      <c r="A32" s="1253"/>
      <c r="B32" s="1254"/>
    </row>
    <row r="33" spans="1:2">
      <c r="A33" s="1253"/>
      <c r="B33" s="1254"/>
    </row>
    <row r="34" spans="1:2">
      <c r="A34" s="1253"/>
      <c r="B34" s="1254"/>
    </row>
    <row r="35" spans="1:2">
      <c r="A35" s="1253"/>
      <c r="B35" s="1254"/>
    </row>
    <row r="36" spans="1:2">
      <c r="A36" s="1253"/>
      <c r="B36" s="1254"/>
    </row>
    <row r="37" spans="1:2">
      <c r="A37" s="1255"/>
      <c r="B37" s="1256"/>
    </row>
    <row r="38" spans="1:2" ht="10.5" customHeight="1">
      <c r="A38" s="171"/>
      <c r="B38" s="171"/>
    </row>
    <row r="39" spans="1:2" ht="21" customHeight="1">
      <c r="A39" s="172" t="s">
        <v>37</v>
      </c>
      <c r="B39" s="176"/>
    </row>
    <row r="40" spans="1:2" ht="69" customHeight="1">
      <c r="A40" s="172" t="s">
        <v>26</v>
      </c>
      <c r="B40" s="177" t="s">
        <v>27</v>
      </c>
    </row>
    <row r="41" spans="1:2">
      <c r="A41" s="171"/>
      <c r="B41" s="171"/>
    </row>
  </sheetData>
  <sheetProtection selectLockedCells="1"/>
  <mergeCells count="4">
    <mergeCell ref="A1:B6"/>
    <mergeCell ref="A10:B10"/>
    <mergeCell ref="A20:B20"/>
    <mergeCell ref="A26:B37"/>
  </mergeCells>
  <pageMargins left="0.59055118110236238" right="0.59055118110236238" top="0.59055118110236238" bottom="0.59055118110236238" header="0.31496062992125984" footer="0.31496062992125984"/>
  <pageSetup paperSize="9" orientation="portrait" r:id="rId1"/>
  <picture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EB0EF-F04F-4821-9A61-C00304FE7295}">
  <sheetPr codeName="Tabelle7">
    <pageSetUpPr fitToPage="1"/>
  </sheetPr>
  <dimension ref="B1:R86"/>
  <sheetViews>
    <sheetView showGridLines="0" zoomScale="80" zoomScaleNormal="80" workbookViewId="0">
      <selection activeCell="J4" sqref="J4"/>
    </sheetView>
  </sheetViews>
  <sheetFormatPr baseColWidth="10" defaultColWidth="11.36328125" defaultRowHeight="12.5" outlineLevelRow="1"/>
  <cols>
    <col min="1" max="1" width="5.6328125" style="363" customWidth="1"/>
    <col min="2" max="2" width="55.08984375" style="363" customWidth="1"/>
    <col min="3" max="3" width="20.26953125" style="363" customWidth="1"/>
    <col min="4" max="6" width="11.7265625" style="363" customWidth="1"/>
    <col min="7" max="9" width="5.6328125" style="363" hidden="1" customWidth="1"/>
    <col min="10" max="10" width="18.6328125" style="363" customWidth="1"/>
    <col min="11" max="11" width="20.81640625" style="363" customWidth="1"/>
    <col min="12" max="12" width="44.81640625" style="363" customWidth="1"/>
    <col min="13" max="13" width="21.6328125" style="363" hidden="1" customWidth="1"/>
    <col min="14" max="14" width="24.26953125" style="363" hidden="1" customWidth="1"/>
    <col min="15" max="15" width="32.26953125" style="363" hidden="1" customWidth="1"/>
    <col min="16" max="16" width="45" style="363" customWidth="1"/>
    <col min="17" max="16384" width="11.36328125" style="363"/>
  </cols>
  <sheetData>
    <row r="1" spans="2:18" ht="13.5" customHeight="1">
      <c r="B1" s="371"/>
      <c r="C1" s="371"/>
      <c r="D1" s="371"/>
      <c r="E1" s="371"/>
      <c r="F1" s="371"/>
      <c r="K1" s="362"/>
      <c r="R1"/>
    </row>
    <row r="2" spans="2:18" ht="204" customHeight="1">
      <c r="B2" s="1620" t="s">
        <v>561</v>
      </c>
      <c r="C2" s="1620"/>
      <c r="D2" s="1620"/>
      <c r="E2" s="1620"/>
      <c r="F2" s="1620"/>
      <c r="K2" s="1617" t="s">
        <v>539</v>
      </c>
      <c r="L2" s="1617"/>
    </row>
    <row r="3" spans="2:18" ht="15" customHeight="1">
      <c r="B3" s="551"/>
      <c r="C3" s="551"/>
      <c r="D3" s="551"/>
      <c r="E3" s="551"/>
      <c r="F3" s="551"/>
      <c r="K3" s="362" t="s">
        <v>492</v>
      </c>
      <c r="L3" s="552"/>
    </row>
    <row r="4" spans="2:18" ht="26.25" customHeight="1">
      <c r="B4" s="644" t="s">
        <v>464</v>
      </c>
      <c r="C4" s="1615" t="str">
        <f>IF('Punktevergabe LNB'!$C$3&gt;0,'Punktevergabe LNB'!$C$3," ")</f>
        <v xml:space="preserve"> </v>
      </c>
      <c r="D4" s="1615"/>
      <c r="E4" s="549"/>
      <c r="F4" s="549"/>
      <c r="K4" s="550"/>
      <c r="L4" s="554" t="s">
        <v>494</v>
      </c>
      <c r="M4" s="363" t="s">
        <v>2</v>
      </c>
      <c r="N4" s="363" t="s">
        <v>388</v>
      </c>
      <c r="O4" s="363" t="s">
        <v>6</v>
      </c>
    </row>
    <row r="5" spans="2:18" ht="16.5" customHeight="1">
      <c r="B5" s="643" t="s">
        <v>392</v>
      </c>
      <c r="C5" s="1615" t="s">
        <v>388</v>
      </c>
      <c r="D5" s="1615"/>
      <c r="K5" s="426"/>
      <c r="L5" s="363" t="s">
        <v>495</v>
      </c>
      <c r="M5" s="363" t="s">
        <v>4</v>
      </c>
      <c r="N5" s="363" t="s">
        <v>390</v>
      </c>
      <c r="O5" s="363" t="s">
        <v>391</v>
      </c>
    </row>
    <row r="6" spans="2:18" ht="16.5" customHeight="1">
      <c r="B6" s="643" t="s">
        <v>5</v>
      </c>
      <c r="C6" s="1616" t="s">
        <v>6</v>
      </c>
      <c r="D6" s="1616"/>
      <c r="G6" s="362" t="s">
        <v>393</v>
      </c>
      <c r="H6" s="364" t="s">
        <v>394</v>
      </c>
      <c r="I6" s="364" t="s">
        <v>395</v>
      </c>
      <c r="J6" s="362"/>
      <c r="K6" s="657"/>
      <c r="L6" s="363" t="s">
        <v>560</v>
      </c>
      <c r="M6" s="363" t="s">
        <v>9</v>
      </c>
    </row>
    <row r="7" spans="2:18" ht="16.5" customHeight="1">
      <c r="B7" s="643" t="s">
        <v>389</v>
      </c>
      <c r="C7" s="1615" t="str">
        <f>IF(AND(C5="Nichtwohngebäude",C6="Neubau"),"QNG-NW23-N",IF(AND(C5="Nichtwohngebäude",C6="Komplettmodernisierung"),"QNG-NW23-K",IF(AND(C5="Wohngebäude",C6="Neubau"),"QNG-WG23-N",IF(AND(C5="Wohngebäude",C6="Komplettmodernisierung"),"QNG-WG23-K"," "))))</f>
        <v>QNG-NW23-N</v>
      </c>
      <c r="D7" s="1615"/>
      <c r="G7" s="362"/>
      <c r="H7" s="362"/>
      <c r="I7" s="362"/>
      <c r="J7" s="362"/>
      <c r="K7" s="548" t="s">
        <v>489</v>
      </c>
      <c r="L7" s="363" t="s">
        <v>635</v>
      </c>
      <c r="M7" s="363" t="s">
        <v>7</v>
      </c>
    </row>
    <row r="8" spans="2:18" ht="16.5" customHeight="1">
      <c r="G8" s="362"/>
      <c r="H8" s="362"/>
      <c r="I8" s="362"/>
      <c r="J8" s="362"/>
      <c r="K8" s="383" t="s">
        <v>490</v>
      </c>
      <c r="L8" s="363" t="s">
        <v>636</v>
      </c>
    </row>
    <row r="9" spans="2:18" ht="32.25" customHeight="1">
      <c r="C9" s="365" t="s">
        <v>397</v>
      </c>
      <c r="D9" s="365" t="s">
        <v>398</v>
      </c>
      <c r="E9" s="366" t="s">
        <v>350</v>
      </c>
      <c r="F9" s="366" t="s">
        <v>351</v>
      </c>
      <c r="J9" s="365" t="s">
        <v>399</v>
      </c>
      <c r="K9" s="365" t="s">
        <v>400</v>
      </c>
      <c r="L9" s="362" t="s">
        <v>497</v>
      </c>
      <c r="P9" s="362" t="s">
        <v>496</v>
      </c>
    </row>
    <row r="10" spans="2:18" ht="20">
      <c r="B10" s="406" t="s">
        <v>401</v>
      </c>
      <c r="C10" s="407">
        <f>C12+C14+C18+C20+C22+C33+C35</f>
        <v>334</v>
      </c>
      <c r="D10" s="407"/>
      <c r="E10" s="407"/>
      <c r="F10" s="407"/>
      <c r="G10" s="407"/>
      <c r="H10" s="407"/>
      <c r="I10" s="407"/>
      <c r="J10" s="408">
        <f>SUM(J12+J14+J18+J20+J22+J33+J35)</f>
        <v>0</v>
      </c>
      <c r="K10" s="408"/>
      <c r="L10" s="409"/>
      <c r="M10" s="363" t="s">
        <v>402</v>
      </c>
      <c r="P10" s="409"/>
    </row>
    <row r="11" spans="2:18" ht="7.5" customHeight="1">
      <c r="B11" s="367"/>
      <c r="C11" s="368"/>
      <c r="D11" s="368"/>
      <c r="E11" s="368"/>
      <c r="F11" s="368"/>
      <c r="G11" s="368"/>
      <c r="H11" s="368"/>
      <c r="I11" s="368"/>
      <c r="J11" s="368"/>
      <c r="K11" s="368"/>
      <c r="L11" s="367"/>
      <c r="M11" s="363" t="s">
        <v>403</v>
      </c>
      <c r="P11" s="367"/>
    </row>
    <row r="12" spans="2:18" ht="15" customHeight="1">
      <c r="B12" s="410" t="s">
        <v>98</v>
      </c>
      <c r="C12" s="411">
        <f>_xlfn.XLOOKUP($C$7,'Kriterieneinteilung LNB_QNG'!$AG$5:$AG$8,'Kriterieneinteilung LNB_QNG'!AH5:AH8," ",0,1)</f>
        <v>30</v>
      </c>
      <c r="D12" s="411" t="str">
        <f>IF(AND($K$13&lt;E13,$K$13&gt;=D13),"x","")</f>
        <v/>
      </c>
      <c r="E12" s="411" t="str">
        <f>IF(AND($K$13&lt;F13,$K$13&gt;=E13),"x","")</f>
        <v/>
      </c>
      <c r="F12" s="411" t="str">
        <f>IF($K$13&gt;=F13,"x","")</f>
        <v/>
      </c>
      <c r="G12" s="412">
        <f>IF(D12="x","x",IF(E12="x","x",IF(F12="x","x",0)))</f>
        <v>0</v>
      </c>
      <c r="H12" s="411"/>
      <c r="I12" s="411"/>
      <c r="J12" s="413">
        <f>IF(D12="x",0,IF(E12="x",C12/2,IF(F12="x",C12,0)))</f>
        <v>0</v>
      </c>
      <c r="K12" s="413"/>
      <c r="L12" s="414"/>
      <c r="M12" s="363" t="s">
        <v>404</v>
      </c>
      <c r="P12" s="414"/>
    </row>
    <row r="13" spans="2:18" ht="16.5" customHeight="1" outlineLevel="1">
      <c r="B13" s="1619" t="s">
        <v>682</v>
      </c>
      <c r="C13" s="1591"/>
      <c r="D13" s="415">
        <v>0.1</v>
      </c>
      <c r="E13" s="415">
        <v>0.4</v>
      </c>
      <c r="F13" s="415">
        <v>0.8</v>
      </c>
      <c r="G13" s="416"/>
      <c r="H13" s="417"/>
      <c r="I13" s="417"/>
      <c r="J13" s="418"/>
      <c r="K13" s="419">
        <f>Nebenrechnungen!C9</f>
        <v>0</v>
      </c>
      <c r="L13" s="367"/>
      <c r="M13" s="363" t="s">
        <v>405</v>
      </c>
      <c r="N13" s="370" t="s">
        <v>406</v>
      </c>
      <c r="O13" s="405"/>
      <c r="P13" s="367"/>
    </row>
    <row r="14" spans="2:18" ht="15" customHeight="1">
      <c r="B14" s="424" t="s">
        <v>491</v>
      </c>
      <c r="C14" s="411">
        <f>_xlfn.XLOOKUP($C$7,'Kriterieneinteilung LNB_QNG'!$AG$5:$AG$8,'Kriterieneinteilung LNB_QNG'!AJ5:AJ8," ",0,1)</f>
        <v>152</v>
      </c>
      <c r="D14" s="411" t="s">
        <v>538</v>
      </c>
      <c r="E14" s="411" t="str">
        <f>IF(AND($K$17&gt;K16,$K$17&lt;=K15),"x"," ")</f>
        <v xml:space="preserve"> </v>
      </c>
      <c r="F14" s="411" t="str">
        <f>IF(AND($K$17&lt;=K16,$K$17&gt;0),"x"," ")</f>
        <v xml:space="preserve"> </v>
      </c>
      <c r="G14" s="411">
        <f t="shared" ref="G14:G35" si="0">IF(D14="x","x",IF(E14="x","x",IF(F14="x","x",0)))</f>
        <v>0</v>
      </c>
      <c r="H14" s="411">
        <f>IF(E14="x","x",IF(F14="x","x",0))</f>
        <v>0</v>
      </c>
      <c r="I14" s="411">
        <f>IF(F14="x","x",0)</f>
        <v>0</v>
      </c>
      <c r="J14" s="411">
        <f>IF(D14="x",0,IF(E14="x",C14/2,IF(F14="x",C14,0)))</f>
        <v>0</v>
      </c>
      <c r="K14" s="411"/>
      <c r="L14" s="411"/>
      <c r="M14" s="363" t="s">
        <v>350</v>
      </c>
      <c r="P14" s="411"/>
    </row>
    <row r="15" spans="2:18" ht="16.5" customHeight="1" outlineLevel="1">
      <c r="B15" s="1618" t="s">
        <v>532</v>
      </c>
      <c r="C15" s="1618"/>
      <c r="D15" s="1618"/>
      <c r="E15" s="1618"/>
      <c r="F15" s="1618"/>
      <c r="G15" s="1618"/>
      <c r="H15" s="1618"/>
      <c r="I15" s="1618"/>
      <c r="J15" s="1618"/>
      <c r="K15" s="426"/>
      <c r="L15" s="1621"/>
      <c r="M15" s="363" t="s">
        <v>351</v>
      </c>
      <c r="P15" s="1621"/>
    </row>
    <row r="16" spans="2:18" ht="16.5" customHeight="1" outlineLevel="1">
      <c r="B16" s="1618" t="s">
        <v>533</v>
      </c>
      <c r="C16" s="1618"/>
      <c r="D16" s="1618"/>
      <c r="E16" s="1618"/>
      <c r="F16" s="1618"/>
      <c r="G16" s="1618"/>
      <c r="H16" s="1618"/>
      <c r="I16" s="1618"/>
      <c r="J16" s="1618"/>
      <c r="K16" s="426"/>
      <c r="L16" s="1622"/>
      <c r="P16" s="1622"/>
    </row>
    <row r="17" spans="2:16" ht="16.5" customHeight="1" outlineLevel="1">
      <c r="B17" s="1618" t="s">
        <v>498</v>
      </c>
      <c r="C17" s="1618"/>
      <c r="D17" s="1618"/>
      <c r="E17" s="1618"/>
      <c r="F17" s="1618"/>
      <c r="G17" s="1618"/>
      <c r="H17" s="1618"/>
      <c r="I17" s="1618"/>
      <c r="J17" s="1618"/>
      <c r="K17" s="426"/>
      <c r="L17" s="1623"/>
      <c r="P17" s="1623"/>
    </row>
    <row r="18" spans="2:16" ht="15" customHeight="1">
      <c r="B18" s="410" t="s">
        <v>105</v>
      </c>
      <c r="C18" s="411">
        <f>_xlfn.XLOOKUP($C$7,'Kriterieneinteilung LNB_QNG'!$AG$5:$AG$8,'Kriterieneinteilung LNB_QNG'!AL5:AL8," ",0,1)</f>
        <v>30</v>
      </c>
      <c r="D18" s="411" t="str">
        <f>IF(AND(Nebenrechnungen!C15="Ja",'Punktevergabe LNB_QNG'!E18=" ",'Punktevergabe LNB_QNG'!F18=" "),"x"," ")</f>
        <v xml:space="preserve"> </v>
      </c>
      <c r="E18" s="411" t="str">
        <f>IF(AND(Nebenrechnungen!H106=1,Nebenrechnungen!C29&gt;=Nebenrechnungen!C28),"x"," ")</f>
        <v xml:space="preserve"> </v>
      </c>
      <c r="F18" s="411" t="str">
        <f>IF(AND(Nebenrechnungen!C17="Ja",Nebenrechnungen!C20="Ja",Nebenrechnungen!C29&gt;=Nebenrechnungen!C28),"x"," ")</f>
        <v xml:space="preserve"> </v>
      </c>
      <c r="G18" s="668">
        <f t="shared" si="0"/>
        <v>0</v>
      </c>
      <c r="H18" s="411"/>
      <c r="I18" s="411"/>
      <c r="J18" s="413">
        <f>IF(D18="x",0,IF(E18="x",C18/2,IF(F18="x",C18,0)))</f>
        <v>0</v>
      </c>
      <c r="K18" s="413"/>
      <c r="L18" s="414"/>
      <c r="N18" s="370" t="s">
        <v>406</v>
      </c>
      <c r="P18" s="414"/>
    </row>
    <row r="19" spans="2:16" ht="63" customHeight="1" outlineLevel="1">
      <c r="B19" s="1619" t="s">
        <v>407</v>
      </c>
      <c r="C19" s="1624"/>
      <c r="D19" s="641"/>
      <c r="E19" s="641"/>
      <c r="F19" s="641"/>
      <c r="G19" s="631"/>
      <c r="H19" s="632"/>
      <c r="I19" s="632"/>
      <c r="J19" s="633"/>
      <c r="K19" s="618" t="str">
        <f>IF(D18="x","Mindest-anforderung",IF(E18="x","Sollwert",IF(F18="x","Zielwert","Mindestanf. nicht erfüllt!")))</f>
        <v>Mindestanf. nicht erfüllt!</v>
      </c>
      <c r="L19" s="367"/>
      <c r="N19" s="371"/>
      <c r="P19" s="367"/>
    </row>
    <row r="20" spans="2:16" ht="15" customHeight="1">
      <c r="B20" s="611" t="s">
        <v>106</v>
      </c>
      <c r="C20" s="612">
        <f>_xlfn.XLOOKUP($C$7,'Kriterieneinteilung LNB_QNG'!$AG$5:$AG$8,'Kriterieneinteilung LNB_QNG'!AM5:AM8," ",0,1)</f>
        <v>46</v>
      </c>
      <c r="D20" s="612" t="str">
        <f>IF(AND($K$21&gt;E21,$K$21&lt;=D21),"x"," ")</f>
        <v xml:space="preserve"> </v>
      </c>
      <c r="E20" s="612" t="str">
        <f>IF(AND($K$21&gt;F21,$K$21&lt;=E21),"x"," ")</f>
        <v xml:space="preserve"> </v>
      </c>
      <c r="F20" s="612" t="str">
        <f>IF(AND($K$21&lt;=F21,$K$21&gt;0),"x"," ")</f>
        <v xml:space="preserve"> </v>
      </c>
      <c r="G20" s="612">
        <f t="shared" si="0"/>
        <v>0</v>
      </c>
      <c r="H20" s="612"/>
      <c r="I20" s="612"/>
      <c r="J20" s="612">
        <f>IF(D20="x",0,IF(E20="x",C20/2,IF(F20="x",C20,0)))</f>
        <v>0</v>
      </c>
      <c r="K20" s="411"/>
      <c r="L20" s="411"/>
      <c r="M20" s="363" t="s">
        <v>408</v>
      </c>
      <c r="P20" s="411"/>
    </row>
    <row r="21" spans="2:16" ht="15" customHeight="1" outlineLevel="1">
      <c r="B21" s="1619" t="s">
        <v>409</v>
      </c>
      <c r="C21" s="1591"/>
      <c r="D21" s="418">
        <v>20</v>
      </c>
      <c r="E21" s="418">
        <v>17</v>
      </c>
      <c r="F21" s="418">
        <v>11</v>
      </c>
      <c r="G21" s="416"/>
      <c r="H21" s="417"/>
      <c r="I21" s="417"/>
      <c r="J21" s="418"/>
      <c r="K21" s="426"/>
      <c r="L21" s="367"/>
      <c r="M21" s="363" t="s">
        <v>410</v>
      </c>
      <c r="P21" s="367"/>
    </row>
    <row r="22" spans="2:16" ht="15" customHeight="1">
      <c r="B22" s="424" t="s">
        <v>411</v>
      </c>
      <c r="C22" s="411">
        <f>_xlfn.XLOOKUP($C$7,'Kriterieneinteilung LNB_QNG'!$AG$5:$AG$8,'Kriterieneinteilung LNB_QNG'!AV5:AV8," ",0,1)</f>
        <v>46</v>
      </c>
      <c r="D22" s="411" t="s">
        <v>538</v>
      </c>
      <c r="E22" s="411" t="str">
        <f>IF(AND($K$28&gt;=E28,$K$23&gt;=E23,F22=" "),"x"," ")</f>
        <v xml:space="preserve"> </v>
      </c>
      <c r="F22" s="411" t="str">
        <f>IF(AND($K$28&gt;=F28,$K$23&gt;=F23),"x"," ")</f>
        <v xml:space="preserve"> </v>
      </c>
      <c r="G22" s="411">
        <f t="shared" si="0"/>
        <v>0</v>
      </c>
      <c r="H22" s="411">
        <f>IF(E22="x","x",IF(F22="x","x",0))</f>
        <v>0</v>
      </c>
      <c r="I22" s="411">
        <f>IF(F22="x","x",0)</f>
        <v>0</v>
      </c>
      <c r="J22" s="411">
        <f>IF(D22="x",0,IF(E22="x",C22/2,IF(F22="x",C22,0)))</f>
        <v>0</v>
      </c>
      <c r="K22" s="411"/>
      <c r="L22" s="411"/>
      <c r="P22" s="411"/>
    </row>
    <row r="23" spans="2:16" ht="15" customHeight="1" outlineLevel="1">
      <c r="B23" s="1585" t="s">
        <v>487</v>
      </c>
      <c r="C23" s="1586"/>
      <c r="D23" s="658" t="s">
        <v>538</v>
      </c>
      <c r="E23" s="415">
        <f>IF($C$5="Nichtwohngebäude",0.7,0.5)</f>
        <v>0.7</v>
      </c>
      <c r="F23" s="415">
        <f>IF($C$5="Nichtwohngebäude",0.85,0.8)</f>
        <v>0.85</v>
      </c>
      <c r="G23" s="415"/>
      <c r="H23" s="415"/>
      <c r="I23" s="415"/>
      <c r="J23" s="415"/>
      <c r="K23" s="415">
        <f>IF(K24&gt;0,(K25+K26*K27)/K24,0)</f>
        <v>0</v>
      </c>
      <c r="L23" s="1621"/>
      <c r="N23" s="363" t="s">
        <v>412</v>
      </c>
      <c r="P23" s="1621"/>
    </row>
    <row r="24" spans="2:16" ht="15" customHeight="1" outlineLevel="1">
      <c r="B24" s="1594" t="s">
        <v>413</v>
      </c>
      <c r="C24" s="1595"/>
      <c r="D24" s="1595"/>
      <c r="E24" s="1595"/>
      <c r="F24" s="1595"/>
      <c r="G24" s="1595"/>
      <c r="H24" s="1595"/>
      <c r="I24" s="1595"/>
      <c r="J24" s="1596"/>
      <c r="K24" s="426"/>
      <c r="L24" s="1622"/>
      <c r="P24" s="1622"/>
    </row>
    <row r="25" spans="2:16" ht="15" customHeight="1" outlineLevel="1">
      <c r="B25" s="1597" t="s">
        <v>414</v>
      </c>
      <c r="C25" s="1597"/>
      <c r="D25" s="1597"/>
      <c r="E25" s="1597"/>
      <c r="F25" s="1597"/>
      <c r="G25" s="1597"/>
      <c r="H25" s="1597"/>
      <c r="I25" s="1597"/>
      <c r="J25" s="1597"/>
      <c r="K25" s="426"/>
      <c r="L25" s="1622"/>
      <c r="P25" s="1622"/>
    </row>
    <row r="26" spans="2:16" ht="15" customHeight="1" outlineLevel="1">
      <c r="B26" s="1597" t="s">
        <v>537</v>
      </c>
      <c r="C26" s="1597"/>
      <c r="D26" s="1597"/>
      <c r="E26" s="1597"/>
      <c r="F26" s="1597"/>
      <c r="G26" s="1597"/>
      <c r="H26" s="1597"/>
      <c r="I26" s="1597"/>
      <c r="J26" s="1597"/>
      <c r="K26" s="426"/>
      <c r="L26" s="1622"/>
      <c r="P26" s="1622"/>
    </row>
    <row r="27" spans="2:16" ht="30.75" customHeight="1" outlineLevel="1">
      <c r="B27" s="1597" t="s">
        <v>540</v>
      </c>
      <c r="C27" s="1597"/>
      <c r="D27" s="1597"/>
      <c r="E27" s="1597"/>
      <c r="F27" s="1597"/>
      <c r="G27" s="1597"/>
      <c r="H27" s="1597"/>
      <c r="I27" s="1597"/>
      <c r="J27" s="1597"/>
      <c r="K27" s="427"/>
      <c r="L27" s="1622"/>
      <c r="P27" s="1622"/>
    </row>
    <row r="28" spans="2:16" ht="15" customHeight="1" outlineLevel="1">
      <c r="B28" s="1585" t="s">
        <v>488</v>
      </c>
      <c r="C28" s="1586"/>
      <c r="D28" s="658" t="s">
        <v>538</v>
      </c>
      <c r="E28" s="415">
        <f>IF($C$5="Nichtwohngebäude",0.3,0)</f>
        <v>0.3</v>
      </c>
      <c r="F28" s="415">
        <f>IF($C$5="Nichtwohngebäude",0.5,0)</f>
        <v>0.5</v>
      </c>
      <c r="G28" s="415"/>
      <c r="H28" s="415"/>
      <c r="I28" s="415"/>
      <c r="J28" s="415"/>
      <c r="K28" s="415">
        <f>IF(AND(K29&gt;0,K30&gt;0),(K31+K32)/(K29+K30),0)</f>
        <v>0</v>
      </c>
      <c r="L28" s="1622"/>
      <c r="N28" s="363" t="s">
        <v>415</v>
      </c>
      <c r="P28" s="1622"/>
    </row>
    <row r="29" spans="2:16" ht="15.5" outlineLevel="1">
      <c r="B29" s="1597" t="s">
        <v>416</v>
      </c>
      <c r="C29" s="1597"/>
      <c r="D29" s="1597"/>
      <c r="E29" s="1597"/>
      <c r="F29" s="1597"/>
      <c r="G29" s="1597"/>
      <c r="H29" s="1597"/>
      <c r="I29" s="1597"/>
      <c r="J29" s="1597"/>
      <c r="K29" s="426"/>
      <c r="L29" s="1622"/>
      <c r="P29" s="1622"/>
    </row>
    <row r="30" spans="2:16" ht="15.75" customHeight="1" outlineLevel="1">
      <c r="B30" s="1597" t="s">
        <v>417</v>
      </c>
      <c r="C30" s="1597"/>
      <c r="D30" s="1597"/>
      <c r="E30" s="1597"/>
      <c r="F30" s="1597"/>
      <c r="G30" s="1597"/>
      <c r="H30" s="1597"/>
      <c r="I30" s="1597"/>
      <c r="J30" s="1597"/>
      <c r="K30" s="426"/>
      <c r="L30" s="1622"/>
      <c r="P30" s="1622"/>
    </row>
    <row r="31" spans="2:16" ht="15.5" outlineLevel="1">
      <c r="B31" s="1597" t="s">
        <v>418</v>
      </c>
      <c r="C31" s="1597"/>
      <c r="D31" s="1597"/>
      <c r="E31" s="1597"/>
      <c r="F31" s="1597"/>
      <c r="G31" s="1597"/>
      <c r="H31" s="1597"/>
      <c r="I31" s="1597"/>
      <c r="J31" s="1597"/>
      <c r="K31" s="426"/>
      <c r="L31" s="1622"/>
      <c r="P31" s="1622"/>
    </row>
    <row r="32" spans="2:16" ht="15.5" outlineLevel="1">
      <c r="B32" s="1597" t="s">
        <v>419</v>
      </c>
      <c r="C32" s="1597"/>
      <c r="D32" s="1597"/>
      <c r="E32" s="1597"/>
      <c r="F32" s="1597"/>
      <c r="G32" s="1597"/>
      <c r="H32" s="1597"/>
      <c r="I32" s="1597"/>
      <c r="J32" s="1597"/>
      <c r="K32" s="426"/>
      <c r="L32" s="1623"/>
      <c r="P32" s="1623"/>
    </row>
    <row r="33" spans="2:16" ht="15" customHeight="1">
      <c r="B33" s="669" t="s">
        <v>119</v>
      </c>
      <c r="C33" s="411">
        <f>_xlfn.XLOOKUP($C$7,'Kriterieneinteilung LNB_QNG'!$AG$5:$AG$8,'Kriterieneinteilung LNB_QNG'!BA5:BA8," ",0,1)</f>
        <v>0</v>
      </c>
      <c r="D33" s="411" t="s">
        <v>538</v>
      </c>
      <c r="E33" s="411" t="str">
        <f>IF($K$34="Sollwert","x"," ")</f>
        <v xml:space="preserve"> </v>
      </c>
      <c r="F33" s="411" t="str">
        <f>IF($K$34="Zielwert","x"," ")</f>
        <v xml:space="preserve"> </v>
      </c>
      <c r="G33" s="411">
        <f t="shared" si="0"/>
        <v>0</v>
      </c>
      <c r="H33" s="622"/>
      <c r="I33" s="411"/>
      <c r="J33" s="411">
        <f>IF(D33="x",0,IF(E33="x",C33/2,IF(F33="x",C33,0)))</f>
        <v>0</v>
      </c>
      <c r="K33" s="411"/>
      <c r="L33" s="411"/>
      <c r="N33" s="363" t="s">
        <v>420</v>
      </c>
      <c r="P33" s="411"/>
    </row>
    <row r="34" spans="2:16" ht="60" customHeight="1" outlineLevel="1">
      <c r="B34" s="1619" t="str">
        <f>IF($C$6="Komplettmodernisierung",'Kriterieneinteilung LNB_QNG'!AI23,"Keine Anforderungen Neubau - händisch auf Zielwert stellen")</f>
        <v>Keine Anforderungen Neubau - händisch auf Zielwert stellen</v>
      </c>
      <c r="C34" s="1624"/>
      <c r="D34" s="630"/>
      <c r="E34" s="630"/>
      <c r="F34" s="630"/>
      <c r="G34" s="631"/>
      <c r="H34" s="632"/>
      <c r="I34" s="632"/>
      <c r="J34" s="633"/>
      <c r="K34" s="618" t="s">
        <v>404</v>
      </c>
      <c r="L34" s="367"/>
      <c r="P34" s="367"/>
    </row>
    <row r="35" spans="2:16" ht="15" customHeight="1">
      <c r="B35" s="629" t="s">
        <v>121</v>
      </c>
      <c r="C35" s="612">
        <f>_xlfn.XLOOKUP($C$7,'Kriterieneinteilung LNB_QNG'!$AG$5:$AG$8,'Kriterieneinteilung LNB_QNG'!BC5:BC8," ",0,1)</f>
        <v>30</v>
      </c>
      <c r="D35" s="612" t="s">
        <v>538</v>
      </c>
      <c r="E35" s="612" t="str">
        <f>IF(AND($K$36&lt;F36,$K$36&gt;=E36),"x"," ")</f>
        <v xml:space="preserve"> </v>
      </c>
      <c r="F35" s="612" t="str">
        <f>IF($K$36&gt;=F36,"x"," ")</f>
        <v xml:space="preserve"> </v>
      </c>
      <c r="G35" s="612">
        <f t="shared" si="0"/>
        <v>0</v>
      </c>
      <c r="H35" s="363">
        <f>IF(E35="x","x",IF(F35="x","x",0))</f>
        <v>0</v>
      </c>
      <c r="I35" s="612">
        <f>IF(F35="x","x",0)</f>
        <v>0</v>
      </c>
      <c r="J35" s="612">
        <f>IF(D35="x",0,IF(E35="x",C35/2,IF(F35="x",C35,0)))</f>
        <v>0</v>
      </c>
      <c r="K35" s="411"/>
      <c r="L35" s="414"/>
      <c r="N35" s="363" t="s">
        <v>422</v>
      </c>
      <c r="P35" s="414"/>
    </row>
    <row r="36" spans="2:16" ht="15" customHeight="1" outlineLevel="1">
      <c r="B36" s="1590" t="str">
        <f>IF($C$5="Nichtwohngebäude",'Kriterieneinteilung LNB_QNG'!AI27,"Keine Anforderungen Wohngebäude")</f>
        <v>Anforderungswerte Gründach (% d. Gründachpotenzials)</v>
      </c>
      <c r="C36" s="1591"/>
      <c r="D36" s="663" t="s">
        <v>538</v>
      </c>
      <c r="E36" s="425">
        <f>IF($C$5="Nichtwohngebäude",0.5," ")</f>
        <v>0.5</v>
      </c>
      <c r="F36" s="425">
        <f>IF($C$5="Nichtwohngebäude",0.75," ")</f>
        <v>0.75</v>
      </c>
      <c r="G36" s="416"/>
      <c r="H36" s="416"/>
      <c r="I36" s="416"/>
      <c r="J36" s="418"/>
      <c r="K36" s="419">
        <f>Nebenrechnungen!C133</f>
        <v>0</v>
      </c>
      <c r="L36" s="367"/>
      <c r="N36" s="370" t="s">
        <v>424</v>
      </c>
      <c r="O36" s="405"/>
      <c r="P36" s="367"/>
    </row>
    <row r="37" spans="2:16" ht="26">
      <c r="B37" s="622"/>
      <c r="C37" s="365" t="s">
        <v>397</v>
      </c>
      <c r="D37" s="365" t="s">
        <v>398</v>
      </c>
      <c r="E37" s="366" t="s">
        <v>350</v>
      </c>
      <c r="F37" s="366" t="s">
        <v>351</v>
      </c>
      <c r="G37" s="403"/>
      <c r="H37" s="403"/>
      <c r="I37" s="403"/>
      <c r="J37" s="365" t="s">
        <v>399</v>
      </c>
      <c r="K37" s="365" t="s">
        <v>400</v>
      </c>
      <c r="L37" s="362" t="s">
        <v>497</v>
      </c>
      <c r="P37" s="362" t="s">
        <v>496</v>
      </c>
    </row>
    <row r="38" spans="2:16" ht="20">
      <c r="B38" s="678" t="s">
        <v>425</v>
      </c>
      <c r="C38" s="372">
        <f>SUM(C40+C44+C46+C48+C52)</f>
        <v>308</v>
      </c>
      <c r="D38" s="373"/>
      <c r="E38" s="373"/>
      <c r="F38" s="373"/>
      <c r="G38" s="373"/>
      <c r="H38" s="373"/>
      <c r="I38" s="373"/>
      <c r="J38" s="372">
        <f>SUM(J40+J44+J46+J48+J52)</f>
        <v>0</v>
      </c>
      <c r="K38" s="372"/>
      <c r="L38" s="374"/>
      <c r="P38" s="374"/>
    </row>
    <row r="39" spans="2:16" ht="7.5" customHeight="1">
      <c r="B39" s="367"/>
      <c r="C39" s="368"/>
      <c r="D39" s="368"/>
      <c r="E39" s="368"/>
      <c r="F39" s="368"/>
      <c r="G39" s="368"/>
      <c r="H39" s="368"/>
      <c r="I39" s="368"/>
      <c r="J39" s="368"/>
      <c r="K39" s="368"/>
      <c r="L39" s="367"/>
      <c r="P39" s="367"/>
    </row>
    <row r="40" spans="2:16" ht="15" customHeight="1">
      <c r="B40" s="613" t="s">
        <v>426</v>
      </c>
      <c r="C40" s="614">
        <f>_xlfn.XLOOKUP($C$7,'Kriterieneinteilung LNB_QNG'!$AG$5:$AG$8,'Kriterieneinteilung LNB_QNG'!AI5:AI8," ",0,1)</f>
        <v>152</v>
      </c>
      <c r="D40" s="615" t="s">
        <v>538</v>
      </c>
      <c r="E40" s="614" t="str">
        <f>IF(AND($K$43&gt;K42,$K$43&lt;=K41),"x"," ")</f>
        <v xml:space="preserve"> </v>
      </c>
      <c r="F40" s="614" t="str">
        <f>IF(AND($K$43&lt;=K42,$K$43&gt;0),"x"," ")</f>
        <v xml:space="preserve"> </v>
      </c>
      <c r="G40" s="363">
        <f t="shared" ref="G40:G52" si="1">IF(D40="x","x",IF(E40="x","x",IF(F40="x","x",0)))</f>
        <v>0</v>
      </c>
      <c r="H40" s="363">
        <f>IF(E40="x","x",IF(F40="x","x",0))</f>
        <v>0</v>
      </c>
      <c r="I40" s="363">
        <f>IF(F40="x","x",0)</f>
        <v>0</v>
      </c>
      <c r="J40" s="615">
        <f t="shared" ref="J40" si="2">IF(D40="x",0,IF(E40="x",C40/2,IF(F40="x",C40,0)))</f>
        <v>0</v>
      </c>
      <c r="K40" s="376"/>
      <c r="L40" s="377"/>
      <c r="P40" s="377"/>
    </row>
    <row r="41" spans="2:16" ht="15" customHeight="1" outlineLevel="1">
      <c r="B41" s="1598" t="s">
        <v>534</v>
      </c>
      <c r="C41" s="1598"/>
      <c r="D41" s="1598"/>
      <c r="E41" s="1598"/>
      <c r="F41" s="1598"/>
      <c r="G41" s="1598"/>
      <c r="H41" s="1598"/>
      <c r="I41" s="1598"/>
      <c r="J41" s="1598"/>
      <c r="K41" s="426"/>
      <c r="L41" s="1621"/>
      <c r="P41" s="1621"/>
    </row>
    <row r="42" spans="2:16" ht="15" customHeight="1" outlineLevel="1">
      <c r="B42" s="1598" t="s">
        <v>536</v>
      </c>
      <c r="C42" s="1598"/>
      <c r="D42" s="1598"/>
      <c r="E42" s="1598"/>
      <c r="F42" s="1598"/>
      <c r="G42" s="1598"/>
      <c r="H42" s="1598"/>
      <c r="I42" s="1598"/>
      <c r="J42" s="1598"/>
      <c r="K42" s="426"/>
      <c r="L42" s="1622"/>
      <c r="P42" s="1622"/>
    </row>
    <row r="43" spans="2:16" ht="15" customHeight="1" outlineLevel="1">
      <c r="B43" s="1598" t="s">
        <v>535</v>
      </c>
      <c r="C43" s="1598"/>
      <c r="D43" s="1598"/>
      <c r="E43" s="1598"/>
      <c r="F43" s="1598"/>
      <c r="G43" s="1598"/>
      <c r="H43" s="1598"/>
      <c r="I43" s="1598"/>
      <c r="J43" s="1598"/>
      <c r="K43" s="426"/>
      <c r="L43" s="1623"/>
      <c r="P43" s="1623"/>
    </row>
    <row r="44" spans="2:16" ht="15" customHeight="1">
      <c r="B44" s="667" t="s">
        <v>104</v>
      </c>
      <c r="C44" s="375">
        <f>_xlfn.XLOOKUP($C$7,'Kriterieneinteilung LNB_QNG'!$AG$5:$AG$8,'Kriterieneinteilung LNB_QNG'!AK5:AK8," ",0,1)</f>
        <v>16</v>
      </c>
      <c r="D44" s="375" t="str">
        <f>IF($K$45=$M$13,"x"," ")</f>
        <v xml:space="preserve"> </v>
      </c>
      <c r="E44" s="375" t="str">
        <f>IF($K$45="Sollwert","x"," ")</f>
        <v xml:space="preserve"> </v>
      </c>
      <c r="F44" s="375" t="str">
        <f>IF($K$45="Zielwert","x"," ")</f>
        <v xml:space="preserve"> </v>
      </c>
      <c r="G44" s="622">
        <f t="shared" si="1"/>
        <v>0</v>
      </c>
      <c r="H44" s="622"/>
      <c r="I44" s="622"/>
      <c r="J44" s="375">
        <f t="shared" ref="J44:J52" si="3">IF(D44="x",0,IF(E44="x",C44/2,IF(F44="x",C44,0)))</f>
        <v>0</v>
      </c>
      <c r="K44" s="375"/>
      <c r="L44" s="377"/>
      <c r="P44" s="377"/>
    </row>
    <row r="45" spans="2:16" ht="60" customHeight="1" outlineLevel="1">
      <c r="B45" s="1592" t="str">
        <f>IF(C5="Nichtwohngebäude",'Kriterieneinteilung LNB_QNG'!AI12,'Kriterieneinteilung LNB_QNG'!AI13)</f>
        <v>Anforderungen Nichtwohngebäude:
MA: lichte Raumhöhe 3,00 m (bzw. 2,80 m bei mech. LA)
SW: zusätzl. Teilbarkeit in Einheiten &lt; 400 m²
ZW: zusätzl. Nutzlastreserven</v>
      </c>
      <c r="C45" s="1593"/>
      <c r="D45" s="639"/>
      <c r="E45" s="639"/>
      <c r="F45" s="639"/>
      <c r="G45" s="622"/>
      <c r="H45" s="623"/>
      <c r="I45" s="623"/>
      <c r="J45" s="640"/>
      <c r="K45" s="618" t="s">
        <v>404</v>
      </c>
      <c r="L45" s="367"/>
      <c r="P45" s="367"/>
    </row>
    <row r="46" spans="2:16" ht="31">
      <c r="B46" s="667" t="s">
        <v>109</v>
      </c>
      <c r="C46" s="375">
        <f>_xlfn.XLOOKUP($C$7,'Kriterieneinteilung LNB_QNG'!$AG$5:$AG$8,'Kriterieneinteilung LNB_QNG'!AP5:AP8," ",0,1)</f>
        <v>46</v>
      </c>
      <c r="D46" s="375" t="str">
        <f>IF($K$47=$M$13,"x"," ")</f>
        <v xml:space="preserve"> </v>
      </c>
      <c r="E46" s="375" t="str">
        <f>IF($K$47="Sollwert","x"," ")</f>
        <v xml:space="preserve"> </v>
      </c>
      <c r="F46" s="375" t="str">
        <f>IF($K$47="Zielwert","x"," ")</f>
        <v xml:space="preserve"> </v>
      </c>
      <c r="G46" s="622">
        <f t="shared" si="1"/>
        <v>0</v>
      </c>
      <c r="H46" s="622"/>
      <c r="I46" s="622"/>
      <c r="J46" s="375">
        <f t="shared" si="3"/>
        <v>0</v>
      </c>
      <c r="K46" s="375"/>
      <c r="L46" s="553"/>
      <c r="P46" s="377"/>
    </row>
    <row r="47" spans="2:16" ht="60" customHeight="1" outlineLevel="1">
      <c r="B47" s="1592" t="s">
        <v>427</v>
      </c>
      <c r="C47" s="1593"/>
      <c r="D47" s="639"/>
      <c r="E47" s="639"/>
      <c r="F47" s="639"/>
      <c r="G47" s="622"/>
      <c r="H47" s="623"/>
      <c r="I47" s="623"/>
      <c r="J47" s="640"/>
      <c r="K47" s="618" t="s">
        <v>404</v>
      </c>
      <c r="L47" s="367"/>
      <c r="P47" s="367"/>
    </row>
    <row r="48" spans="2:16" ht="15" customHeight="1">
      <c r="B48" s="616" t="s">
        <v>110</v>
      </c>
      <c r="C48" s="617">
        <f>_xlfn.XLOOKUP($C$7,'Kriterieneinteilung LNB_QNG'!$AG$5:$AG$8,'Kriterieneinteilung LNB_QNG'!AQ5:AQ8," ",0,1)</f>
        <v>30</v>
      </c>
      <c r="D48" s="617" t="str">
        <f>IF(AND($K$49&lt;E49,$K$49&gt;=D49),"x"," ")</f>
        <v xml:space="preserve"> </v>
      </c>
      <c r="E48" s="617" t="str">
        <f>IF(AND($K$49&lt;F49,$K$49&gt;=E49),"x"," ")</f>
        <v xml:space="preserve"> </v>
      </c>
      <c r="F48" s="617" t="str">
        <f>IF(AND($K$49&gt;=F49,K50&gt;0,K51&gt;0),"x"," ")</f>
        <v xml:space="preserve"> </v>
      </c>
      <c r="G48" s="363">
        <f t="shared" si="1"/>
        <v>0</v>
      </c>
      <c r="J48" s="617">
        <f t="shared" si="3"/>
        <v>0</v>
      </c>
      <c r="K48" s="375"/>
      <c r="L48" s="377"/>
      <c r="P48" s="377"/>
    </row>
    <row r="49" spans="2:16" ht="15" customHeight="1" outlineLevel="1">
      <c r="B49" s="1600" t="s">
        <v>428</v>
      </c>
      <c r="C49" s="1601"/>
      <c r="D49" s="634">
        <f>IF($C$5="Nichtwohngebäude",0.4,0.4)</f>
        <v>0.4</v>
      </c>
      <c r="E49" s="634">
        <f>IF($C$5="Nichtwohngebäude",0.5,0.6)</f>
        <v>0.5</v>
      </c>
      <c r="F49" s="634">
        <f>IF($C$5="Nichtwohngebäude",0.7,0.75)</f>
        <v>0.7</v>
      </c>
      <c r="H49" s="635"/>
      <c r="I49" s="635"/>
      <c r="J49" s="555"/>
      <c r="K49" s="511" t="str">
        <f>IF(K51&gt;0,K50/K51,"0")</f>
        <v>0</v>
      </c>
      <c r="L49" s="1621"/>
      <c r="N49" s="363" t="s">
        <v>429</v>
      </c>
      <c r="P49" s="1621"/>
    </row>
    <row r="50" spans="2:16" ht="15" customHeight="1" outlineLevel="1">
      <c r="B50" s="1608" t="s">
        <v>430</v>
      </c>
      <c r="C50" s="1608"/>
      <c r="D50" s="1608"/>
      <c r="E50" s="1608"/>
      <c r="F50" s="1608"/>
      <c r="G50" s="1608"/>
      <c r="H50" s="1608"/>
      <c r="I50" s="1608"/>
      <c r="J50" s="1608"/>
      <c r="K50" s="426"/>
      <c r="L50" s="1622"/>
      <c r="P50" s="1622"/>
    </row>
    <row r="51" spans="2:16" ht="15" customHeight="1" outlineLevel="1">
      <c r="B51" s="1608" t="s">
        <v>431</v>
      </c>
      <c r="C51" s="1608"/>
      <c r="D51" s="1608"/>
      <c r="E51" s="1608"/>
      <c r="F51" s="1608"/>
      <c r="G51" s="1608"/>
      <c r="H51" s="1608"/>
      <c r="I51" s="1608"/>
      <c r="J51" s="1608"/>
      <c r="K51" s="426"/>
      <c r="L51" s="1623"/>
      <c r="M51" s="363">
        <v>0</v>
      </c>
      <c r="P51" s="1623"/>
    </row>
    <row r="52" spans="2:16" ht="15" customHeight="1">
      <c r="B52" s="616" t="s">
        <v>116</v>
      </c>
      <c r="C52" s="617">
        <f>_xlfn.XLOOKUP($C$7,'Kriterieneinteilung LNB_QNG'!$AG$5:$AG$8,'Kriterieneinteilung LNB_QNG'!AW5:AW8," ",0,1)</f>
        <v>64</v>
      </c>
      <c r="D52" s="659" t="s">
        <v>538</v>
      </c>
      <c r="E52" s="617" t="str">
        <f>IF(Nebenrechnungen!$C$82=1,"x"," ")</f>
        <v xml:space="preserve"> </v>
      </c>
      <c r="F52" s="617" t="str">
        <f>IF(Nebenrechnungen!$C$82=2,"x"," ")</f>
        <v xml:space="preserve"> </v>
      </c>
      <c r="G52" s="363">
        <f t="shared" si="1"/>
        <v>0</v>
      </c>
      <c r="J52" s="617">
        <f t="shared" si="3"/>
        <v>0</v>
      </c>
      <c r="K52" s="375"/>
      <c r="L52" s="553"/>
      <c r="M52" s="363">
        <v>1</v>
      </c>
      <c r="P52" s="327"/>
    </row>
    <row r="53" spans="2:16" ht="33.75" customHeight="1" outlineLevel="1">
      <c r="B53" s="1600" t="s">
        <v>550</v>
      </c>
      <c r="C53" s="1607"/>
      <c r="D53" s="662" t="s">
        <v>538</v>
      </c>
      <c r="E53" s="378">
        <v>1</v>
      </c>
      <c r="F53" s="378">
        <v>2</v>
      </c>
      <c r="H53" s="369"/>
      <c r="I53" s="369"/>
      <c r="J53" s="378"/>
      <c r="K53" s="640" t="str">
        <f>IF(F52="x","Zielwert",IF(E52="x","Sollwert","Mindestanf. nicht erfüllt!"))</f>
        <v>Mindestanf. nicht erfüllt!</v>
      </c>
      <c r="L53" s="367"/>
      <c r="M53" s="363">
        <v>2</v>
      </c>
      <c r="P53" s="367"/>
    </row>
    <row r="54" spans="2:16" ht="26">
      <c r="B54" s="622"/>
      <c r="C54" s="365" t="s">
        <v>397</v>
      </c>
      <c r="D54" s="365" t="s">
        <v>398</v>
      </c>
      <c r="E54" s="366" t="s">
        <v>350</v>
      </c>
      <c r="F54" s="366" t="s">
        <v>351</v>
      </c>
      <c r="G54" s="403"/>
      <c r="H54" s="403"/>
      <c r="I54" s="403"/>
      <c r="J54" s="365" t="s">
        <v>399</v>
      </c>
      <c r="K54" s="365" t="s">
        <v>400</v>
      </c>
      <c r="L54" s="362" t="s">
        <v>497</v>
      </c>
      <c r="P54" s="362" t="s">
        <v>496</v>
      </c>
    </row>
    <row r="55" spans="2:16" ht="20">
      <c r="B55" s="677" t="s">
        <v>432</v>
      </c>
      <c r="C55" s="379">
        <f>SUM(C57+C59+C61+C63+C65+C67+C69)</f>
        <v>328</v>
      </c>
      <c r="D55" s="379"/>
      <c r="E55" s="379"/>
      <c r="F55" s="379"/>
      <c r="G55" s="379"/>
      <c r="H55" s="379"/>
      <c r="I55" s="379"/>
      <c r="J55" s="379">
        <f>SUM(J57+J59+J61+J63+J65+J67+J69)</f>
        <v>0</v>
      </c>
      <c r="K55" s="379"/>
      <c r="L55" s="380"/>
      <c r="P55" s="380"/>
    </row>
    <row r="56" spans="2:16" ht="7.5" customHeight="1">
      <c r="B56" s="367"/>
      <c r="C56" s="368"/>
      <c r="D56" s="368"/>
      <c r="E56" s="368"/>
      <c r="F56" s="368"/>
      <c r="G56" s="368"/>
      <c r="H56" s="368"/>
      <c r="I56" s="368"/>
      <c r="J56" s="368"/>
      <c r="K56" s="368"/>
      <c r="L56" s="367"/>
      <c r="P56" s="367"/>
    </row>
    <row r="57" spans="2:16" ht="15" customHeight="1">
      <c r="B57" s="619" t="s">
        <v>107</v>
      </c>
      <c r="C57" s="620">
        <f>_xlfn.XLOOKUP($C$7,'Kriterieneinteilung LNB_QNG'!$AG$5:$AG$8,'Kriterieneinteilung LNB_QNG'!AN5:AN8," ",0,1)</f>
        <v>122</v>
      </c>
      <c r="D57" s="660" t="s">
        <v>538</v>
      </c>
      <c r="E57" s="620" t="str">
        <f>IF($K$58="Sollwert","x"," ")</f>
        <v xml:space="preserve"> </v>
      </c>
      <c r="F57" s="620" t="str">
        <f>IF($K$58="Zielwert","x"," ")</f>
        <v xml:space="preserve"> </v>
      </c>
      <c r="G57" s="363">
        <f t="shared" ref="G57:G67" si="4">IF(D57="x","x",IF(E57="x","x",IF(F57="x","x",0)))</f>
        <v>0</v>
      </c>
      <c r="H57" s="363">
        <f>IF(E57="x","x",IF(F57="x","x",0))</f>
        <v>0</v>
      </c>
      <c r="I57" s="363">
        <f>IF(F57="x","x",0)</f>
        <v>0</v>
      </c>
      <c r="J57" s="620">
        <f t="shared" ref="J57:J69" si="5">IF(D57="x",0,IF(E57="x",C57/2,IF(F57="x",C57,0)))</f>
        <v>0</v>
      </c>
      <c r="K57" s="381"/>
      <c r="L57" s="328"/>
      <c r="P57" s="328"/>
    </row>
    <row r="58" spans="2:16" ht="60" customHeight="1" outlineLevel="1">
      <c r="B58" s="1602" t="s">
        <v>433</v>
      </c>
      <c r="C58" s="1603"/>
      <c r="D58" s="621"/>
      <c r="E58" s="621"/>
      <c r="F58" s="621"/>
      <c r="G58" s="622"/>
      <c r="H58" s="623"/>
      <c r="I58" s="623"/>
      <c r="J58" s="624"/>
      <c r="K58" s="618" t="s">
        <v>404</v>
      </c>
      <c r="L58" s="367"/>
      <c r="P58" s="367"/>
    </row>
    <row r="59" spans="2:16" ht="15" customHeight="1">
      <c r="B59" s="670" t="s">
        <v>108</v>
      </c>
      <c r="C59" s="381">
        <f>_xlfn.XLOOKUP($C$7,'Kriterieneinteilung LNB_QNG'!$AG$5:$AG$8,'Kriterieneinteilung LNB_QNG'!AO5:AO8," ",0,1)</f>
        <v>46</v>
      </c>
      <c r="D59" s="671" t="s">
        <v>538</v>
      </c>
      <c r="E59" s="381" t="str">
        <f>IF($K$60="Sollwert","x"," ")</f>
        <v xml:space="preserve"> </v>
      </c>
      <c r="F59" s="381" t="str">
        <f>IF($K$60="Zielwert","x"," ")</f>
        <v xml:space="preserve"> </v>
      </c>
      <c r="G59" s="622">
        <f t="shared" si="4"/>
        <v>0</v>
      </c>
      <c r="H59" s="622">
        <f>IF(E59="x","x",IF(F59="x","x",0))</f>
        <v>0</v>
      </c>
      <c r="I59" s="622">
        <f>IF(F59="x","x",0)</f>
        <v>0</v>
      </c>
      <c r="J59" s="381">
        <f t="shared" si="5"/>
        <v>0</v>
      </c>
      <c r="K59" s="381"/>
      <c r="L59" s="382"/>
      <c r="P59" s="382"/>
    </row>
    <row r="60" spans="2:16" ht="65.25" customHeight="1" outlineLevel="1">
      <c r="B60" s="1602" t="str">
        <f>IF(C5="Nichtwohngebäude",'Kriterieneinteilung LNB_QNG'!AI16,'Kriterieneinteilung LNB_QNG'!AI17)</f>
        <v>Anforderungen Nichtwohngebäude
MA: Sollwert
SW: 10% d. Arbeitsstätten barrierefrei
ZW: 25% d. Arbeitsstätten barrierefrei</v>
      </c>
      <c r="C60" s="1603"/>
      <c r="D60" s="719"/>
      <c r="E60" s="719"/>
      <c r="F60" s="719"/>
      <c r="G60" s="622"/>
      <c r="H60" s="622"/>
      <c r="I60" s="622"/>
      <c r="J60" s="624"/>
      <c r="K60" s="618" t="s">
        <v>404</v>
      </c>
      <c r="L60" s="367"/>
      <c r="P60" s="367"/>
    </row>
    <row r="61" spans="2:16" ht="31">
      <c r="B61" s="627" t="s">
        <v>111</v>
      </c>
      <c r="C61" s="718">
        <f>_xlfn.XLOOKUP($C$7,'Kriterieneinteilung LNB_QNG'!$AG$5:$AG$8,'Kriterieneinteilung LNB_QNG'!AR5:AR8," ",0,1)</f>
        <v>46</v>
      </c>
      <c r="D61" s="381" t="str">
        <f>IF($K$62=$M$13,"x"," ")</f>
        <v xml:space="preserve"> </v>
      </c>
      <c r="E61" s="381" t="str">
        <f>IF(K62="Sollwert","x"," ")</f>
        <v xml:space="preserve"> </v>
      </c>
      <c r="F61" s="381" t="str">
        <f>IF(K62="Zielwert","x"," ")</f>
        <v xml:space="preserve"> </v>
      </c>
      <c r="G61" s="363">
        <f t="shared" si="4"/>
        <v>0</v>
      </c>
      <c r="J61" s="625">
        <f>IF(D61="x",0,IF(E61="x",C61/2,IF(F61="x",C61,0)))</f>
        <v>0</v>
      </c>
      <c r="K61" s="381"/>
      <c r="L61" s="329"/>
      <c r="P61" s="329"/>
    </row>
    <row r="62" spans="2:16" ht="63.75" customHeight="1" outlineLevel="1">
      <c r="B62" s="1602" t="s">
        <v>470</v>
      </c>
      <c r="C62" s="1603"/>
      <c r="D62" s="1611"/>
      <c r="E62" s="1611"/>
      <c r="F62" s="1611"/>
      <c r="G62" s="1603"/>
      <c r="H62" s="1603"/>
      <c r="I62" s="1603"/>
      <c r="J62" s="1612"/>
      <c r="K62" s="626" t="str">
        <f>IF(Nebenrechnungen!G37="ERFÜLLT","Zielwert",IF(Nebenrechnungen!F37="ERFÜLLT","Sollwert",IF(Nebenrechnungen!E37="ERFÜLLT","Mindest-anforderung","Mindestanf. nicht erfüllt!")))</f>
        <v>Mindestanf. nicht erfüllt!</v>
      </c>
      <c r="L62" s="367"/>
      <c r="N62" s="370" t="s">
        <v>406</v>
      </c>
      <c r="P62" s="367"/>
    </row>
    <row r="63" spans="2:16" ht="15" customHeight="1">
      <c r="B63" s="672" t="s">
        <v>112</v>
      </c>
      <c r="C63" s="720">
        <f>_xlfn.XLOOKUP($C$7,'Kriterieneinteilung LNB_QNG'!$AG$5:$AG$8,'Kriterieneinteilung LNB_QNG'!AS5:AS8," ",0,1)</f>
        <v>68</v>
      </c>
      <c r="D63" s="381" t="str">
        <f>IF($K$64=$M$13,"x"," ")</f>
        <v xml:space="preserve"> </v>
      </c>
      <c r="E63" s="381" t="str">
        <f>IF(K64="Sollwert","x"," ")</f>
        <v xml:space="preserve"> </v>
      </c>
      <c r="F63" s="381" t="str">
        <f>IF(K64="Zielwert","x"," ")</f>
        <v xml:space="preserve"> </v>
      </c>
      <c r="G63" s="622">
        <f t="shared" si="4"/>
        <v>0</v>
      </c>
      <c r="H63" s="622"/>
      <c r="I63" s="622"/>
      <c r="J63" s="381" t="str">
        <f>IF(D63="x",0,IF(E63="x",C63/2,IF(F63="x",C63,"0")))</f>
        <v>0</v>
      </c>
      <c r="K63" s="381"/>
      <c r="L63" s="329"/>
      <c r="P63" s="328"/>
    </row>
    <row r="64" spans="2:16" ht="60" customHeight="1" outlineLevel="1">
      <c r="B64" s="1602" t="s">
        <v>434</v>
      </c>
      <c r="C64" s="1603"/>
      <c r="D64" s="721"/>
      <c r="E64" s="721"/>
      <c r="F64" s="721"/>
      <c r="G64" s="622"/>
      <c r="H64" s="621"/>
      <c r="I64" s="621"/>
      <c r="J64" s="624"/>
      <c r="K64" s="618" t="s">
        <v>404</v>
      </c>
      <c r="L64" s="367"/>
      <c r="N64" s="363" t="s">
        <v>406</v>
      </c>
      <c r="P64" s="367"/>
    </row>
    <row r="65" spans="2:16" ht="15" customHeight="1">
      <c r="B65" s="627" t="s">
        <v>113</v>
      </c>
      <c r="C65" s="625">
        <f>_xlfn.XLOOKUP($C$7,'Kriterieneinteilung LNB_QNG'!$AG$5:$AG$8,'Kriterieneinteilung LNB_QNG'!AT5:AT8," ",0,1)</f>
        <v>16</v>
      </c>
      <c r="D65" s="661" t="s">
        <v>538</v>
      </c>
      <c r="E65" s="625" t="str">
        <f>IF($K$66="Sollwert","x"," ")</f>
        <v xml:space="preserve"> </v>
      </c>
      <c r="F65" s="625" t="str">
        <f>IF($K$66="Zielwert","x"," ")</f>
        <v xml:space="preserve"> </v>
      </c>
      <c r="G65" s="363">
        <f t="shared" si="4"/>
        <v>0</v>
      </c>
      <c r="J65" s="625">
        <f t="shared" si="5"/>
        <v>0</v>
      </c>
      <c r="K65" s="381"/>
      <c r="L65" s="382"/>
      <c r="M65" s="363" t="s">
        <v>404</v>
      </c>
      <c r="P65" s="382"/>
    </row>
    <row r="66" spans="2:16" ht="60" customHeight="1" outlineLevel="1">
      <c r="B66" s="1602" t="s">
        <v>435</v>
      </c>
      <c r="C66" s="1603"/>
      <c r="D66" s="628"/>
      <c r="E66" s="628"/>
      <c r="F66" s="628"/>
      <c r="G66" s="622"/>
      <c r="H66" s="623"/>
      <c r="I66" s="623"/>
      <c r="J66" s="624"/>
      <c r="K66" s="618" t="s">
        <v>404</v>
      </c>
      <c r="L66" s="367"/>
      <c r="M66" s="363" t="s">
        <v>350</v>
      </c>
      <c r="P66" s="367"/>
    </row>
    <row r="67" spans="2:16" ht="15" customHeight="1">
      <c r="B67" s="672" t="s">
        <v>114</v>
      </c>
      <c r="C67" s="381">
        <f>_xlfn.XLOOKUP($C$7,'Kriterieneinteilung LNB_QNG'!$AG$5:$AG$8,'Kriterieneinteilung LNB_QNG'!AU5:AU8," ",0,1)</f>
        <v>0</v>
      </c>
      <c r="D67" s="671" t="s">
        <v>538</v>
      </c>
      <c r="E67" s="381" t="str">
        <f>IF($K$68="Sollwert","x"," ")</f>
        <v xml:space="preserve"> </v>
      </c>
      <c r="F67" s="381" t="str">
        <f>IF($K$68="Zielwert","x"," ")</f>
        <v xml:space="preserve"> </v>
      </c>
      <c r="G67" s="622">
        <f t="shared" si="4"/>
        <v>0</v>
      </c>
      <c r="H67" s="622"/>
      <c r="I67" s="622"/>
      <c r="J67" s="381">
        <f t="shared" si="5"/>
        <v>0</v>
      </c>
      <c r="K67" s="381"/>
      <c r="L67" s="382"/>
      <c r="M67" s="363" t="s">
        <v>351</v>
      </c>
      <c r="N67" s="363" t="s">
        <v>436</v>
      </c>
      <c r="P67" s="382"/>
    </row>
    <row r="68" spans="2:16" ht="34.5" customHeight="1" outlineLevel="1">
      <c r="B68" s="1609" t="str">
        <f>IF(C5="Nichtwohngebäude","Keine Anforderungen Nichtwohngebäude - händisch auf Zielwert stellen",'Kriterieneinteilung LNB_QNG'!AI19)</f>
        <v>Keine Anforderungen Nichtwohngebäude - händisch auf Zielwert stellen</v>
      </c>
      <c r="C68" s="1610"/>
      <c r="D68" s="1610"/>
      <c r="E68" s="628"/>
      <c r="F68" s="628"/>
      <c r="G68" s="622"/>
      <c r="H68" s="623"/>
      <c r="I68" s="623"/>
      <c r="J68" s="624"/>
      <c r="K68" s="618" t="s">
        <v>404</v>
      </c>
      <c r="L68" s="367"/>
      <c r="P68" s="367"/>
    </row>
    <row r="69" spans="2:16" ht="15" customHeight="1">
      <c r="B69" s="670" t="s">
        <v>120</v>
      </c>
      <c r="C69" s="381">
        <f>_xlfn.XLOOKUP($C$7,'Kriterieneinteilung LNB_QNG'!$AG$5:$AG$8,'Kriterieneinteilung LNB_QNG'!BB5:BB8," ",0,1)</f>
        <v>30</v>
      </c>
      <c r="D69" s="671" t="s">
        <v>538</v>
      </c>
      <c r="E69" s="671" t="s">
        <v>538</v>
      </c>
      <c r="F69" s="381" t="str">
        <f>IF($K$70="Zielwert","x"," ")</f>
        <v xml:space="preserve"> </v>
      </c>
      <c r="G69" s="622">
        <f>IF(D69="x","x",IF(E69="x","x",IF(F69="x","x",0)))</f>
        <v>0</v>
      </c>
      <c r="H69" s="622">
        <f>IF(E69="x","x",IF(F69="x","x",0))</f>
        <v>0</v>
      </c>
      <c r="I69" s="622">
        <f>IF(F69="x","x",0)</f>
        <v>0</v>
      </c>
      <c r="J69" s="381">
        <f t="shared" si="5"/>
        <v>0</v>
      </c>
      <c r="K69" s="381"/>
      <c r="L69" s="382"/>
      <c r="N69" s="363" t="s">
        <v>422</v>
      </c>
      <c r="P69" s="382"/>
    </row>
    <row r="70" spans="2:16" ht="45" customHeight="1" outlineLevel="1">
      <c r="B70" s="1606" t="str">
        <f>IF($C$5="Nichtwohngebäude",'Kriterieneinteilung LNB_QNG'!AI25,"Keine Anforderungen Wohngebäude - händisch auf Zielwert stellen")</f>
        <v>Anforderungen:
MA &amp; SW: Zielwert
ZW: Analyse &amp; Bewertung der Gefährdung des Gebäudes</v>
      </c>
      <c r="C70" s="1603"/>
      <c r="D70" s="621"/>
      <c r="E70" s="621"/>
      <c r="F70" s="621"/>
      <c r="G70" s="622"/>
      <c r="H70" s="636"/>
      <c r="I70" s="636"/>
      <c r="J70" s="624"/>
      <c r="K70" s="618" t="s">
        <v>404</v>
      </c>
      <c r="L70" s="367"/>
      <c r="M70" s="363" t="s">
        <v>404</v>
      </c>
      <c r="P70" s="367"/>
    </row>
    <row r="71" spans="2:16" ht="26">
      <c r="B71" s="676"/>
      <c r="C71" s="365" t="s">
        <v>397</v>
      </c>
      <c r="D71" s="365" t="s">
        <v>398</v>
      </c>
      <c r="E71" s="366" t="s">
        <v>350</v>
      </c>
      <c r="F71" s="366" t="s">
        <v>351</v>
      </c>
      <c r="J71" s="365" t="s">
        <v>399</v>
      </c>
      <c r="K71" s="365" t="s">
        <v>400</v>
      </c>
      <c r="L71" s="362" t="s">
        <v>497</v>
      </c>
      <c r="M71" s="363" t="s">
        <v>351</v>
      </c>
      <c r="P71" s="362" t="s">
        <v>496</v>
      </c>
    </row>
    <row r="72" spans="2:16" ht="20.25" customHeight="1">
      <c r="B72" s="675" t="s">
        <v>439</v>
      </c>
      <c r="C72" s="384">
        <f>SUM(C74+C76)</f>
        <v>30</v>
      </c>
      <c r="D72" s="384"/>
      <c r="E72" s="384"/>
      <c r="F72" s="384"/>
      <c r="G72" s="384"/>
      <c r="H72" s="384"/>
      <c r="I72" s="384"/>
      <c r="J72" s="384">
        <f>SUM(J74+J76)</f>
        <v>0</v>
      </c>
      <c r="K72" s="384"/>
      <c r="L72" s="385"/>
      <c r="P72" s="385"/>
    </row>
    <row r="73" spans="2:16" ht="7.5" customHeight="1">
      <c r="B73" s="386"/>
      <c r="C73" s="387"/>
      <c r="D73" s="387"/>
      <c r="E73" s="387"/>
      <c r="F73" s="387"/>
      <c r="G73" s="387"/>
      <c r="H73" s="387"/>
      <c r="I73" s="387"/>
      <c r="J73" s="387"/>
      <c r="K73" s="387"/>
      <c r="L73" s="367"/>
      <c r="P73" s="367"/>
    </row>
    <row r="74" spans="2:16" ht="15" customHeight="1">
      <c r="B74" s="673" t="s">
        <v>117</v>
      </c>
      <c r="C74" s="388">
        <f>_xlfn.XLOOKUP($C$7,'Kriterieneinteilung LNB_QNG'!$AG$5:$AG$8,'Kriterieneinteilung LNB_QNG'!AX5:AX8," ",0,1)</f>
        <v>30</v>
      </c>
      <c r="D74" s="388" t="str">
        <f>IF($K$75=$M$13,"x"," ")</f>
        <v xml:space="preserve"> </v>
      </c>
      <c r="E74" s="388" t="str">
        <f>IF($K$75="Sollwert","x"," ")</f>
        <v xml:space="preserve"> </v>
      </c>
      <c r="F74" s="388" t="str">
        <f>IF($K$75="Zielwert","x"," ")</f>
        <v xml:space="preserve"> </v>
      </c>
      <c r="G74" s="622">
        <f t="shared" ref="G74:G76" si="6">IF(D74="x","x",IF(E74="x","x",IF(F74="x","x",0)))</f>
        <v>0</v>
      </c>
      <c r="H74" s="622"/>
      <c r="I74" s="622"/>
      <c r="J74" s="388">
        <f>IF(D74="x",0,IF(E74="x",C74/2,IF(F74="x",C74,0)))</f>
        <v>0</v>
      </c>
      <c r="K74" s="388"/>
      <c r="L74" s="389"/>
      <c r="P74" s="389"/>
    </row>
    <row r="75" spans="2:16" ht="60" customHeight="1" outlineLevel="1">
      <c r="B75" s="1604" t="s">
        <v>440</v>
      </c>
      <c r="C75" s="1605"/>
      <c r="D75" s="638"/>
      <c r="E75" s="638"/>
      <c r="F75" s="638"/>
      <c r="G75" s="622"/>
      <c r="H75" s="623"/>
      <c r="I75" s="623"/>
      <c r="J75" s="637"/>
      <c r="K75" s="618" t="s">
        <v>404</v>
      </c>
      <c r="L75" s="367"/>
      <c r="P75" s="367"/>
    </row>
    <row r="76" spans="2:16" ht="15" customHeight="1">
      <c r="B76" s="673" t="s">
        <v>118</v>
      </c>
      <c r="C76" s="388">
        <f>_xlfn.XLOOKUP($C$7,'Kriterieneinteilung LNB_QNG'!$AG$5:$AG$8,'Kriterieneinteilung LNB_QNG'!AZ5:AZ8," ",0,1)</f>
        <v>0</v>
      </c>
      <c r="D76" s="674" t="s">
        <v>538</v>
      </c>
      <c r="E76" s="388" t="str">
        <f>IF($K$77="Sollwert","x"," ")</f>
        <v xml:space="preserve"> </v>
      </c>
      <c r="F76" s="388" t="str">
        <f>IF($K$77="Zielwert","x"," ")</f>
        <v xml:space="preserve"> </v>
      </c>
      <c r="G76" s="622">
        <f t="shared" si="6"/>
        <v>0</v>
      </c>
      <c r="H76" s="622"/>
      <c r="I76" s="622"/>
      <c r="J76" s="390">
        <f>IF(D76="x",0,IF(E76="x",C76/2,IF(F76="x",C76,0)))</f>
        <v>0</v>
      </c>
      <c r="K76" s="390"/>
      <c r="L76" s="389"/>
      <c r="N76" s="363" t="s">
        <v>420</v>
      </c>
      <c r="P76" s="389"/>
    </row>
    <row r="77" spans="2:16" ht="63.75" customHeight="1" outlineLevel="1">
      <c r="B77" s="1587" t="str">
        <f>IF($C$6="Komplettmodernisierung",'Kriterieneinteilung LNB_QNG'!AI21,"Keine Anforderungen Neubau - händisch auf Zielwert stellen")</f>
        <v>Keine Anforderungen Neubau - händisch auf Zielwert stellen</v>
      </c>
      <c r="C77" s="1588"/>
      <c r="D77" s="1588"/>
      <c r="E77" s="1588"/>
      <c r="F77" s="1588"/>
      <c r="G77" s="1588"/>
      <c r="H77" s="1588"/>
      <c r="I77" s="1588"/>
      <c r="J77" s="1589"/>
      <c r="K77" s="679" t="s">
        <v>404</v>
      </c>
      <c r="L77" s="680"/>
      <c r="P77" s="680"/>
    </row>
    <row r="78" spans="2:16" ht="15" customHeight="1">
      <c r="B78" s="622"/>
      <c r="C78" s="688" t="s">
        <v>397</v>
      </c>
      <c r="D78" s="689"/>
      <c r="E78" s="689"/>
      <c r="F78" s="689"/>
      <c r="G78" s="689"/>
      <c r="H78" s="689"/>
      <c r="I78" s="689"/>
      <c r="J78" s="688" t="s">
        <v>399</v>
      </c>
      <c r="K78" s="689"/>
      <c r="L78" s="622"/>
      <c r="M78" s="622"/>
      <c r="N78" s="622"/>
      <c r="O78" s="622"/>
      <c r="P78" s="622"/>
    </row>
    <row r="79" spans="2:16" ht="20">
      <c r="B79" s="681" t="s">
        <v>46</v>
      </c>
      <c r="C79" s="682">
        <f>C38+C10+C55+C72</f>
        <v>1000</v>
      </c>
      <c r="D79" s="682"/>
      <c r="E79" s="683"/>
      <c r="F79" s="684"/>
      <c r="G79" s="684"/>
      <c r="H79" s="685"/>
      <c r="I79" s="685"/>
      <c r="J79" s="686">
        <f>J38+J10+J55+J72</f>
        <v>0</v>
      </c>
      <c r="K79" s="686"/>
      <c r="L79" s="687"/>
      <c r="P79" s="687"/>
    </row>
    <row r="80" spans="2:16" ht="6.75" customHeight="1">
      <c r="G80" s="363" t="str">
        <f>IF(G81&gt;20,"erfüllt","nicht erfüllt")</f>
        <v>nicht erfüllt</v>
      </c>
      <c r="H80" s="363" t="str">
        <f>IF(J79&gt;749.9,"erfüllt","nicht erfüllt")</f>
        <v>nicht erfüllt</v>
      </c>
      <c r="I80" s="363">
        <f>COUNTIF(G80:H80,"erfüllt")</f>
        <v>0</v>
      </c>
    </row>
    <row r="81" spans="3:11" ht="32.25" customHeight="1">
      <c r="C81" s="1613" t="s">
        <v>442</v>
      </c>
      <c r="D81" s="1613"/>
      <c r="E81" s="1613"/>
      <c r="F81" s="1613"/>
      <c r="G81" s="363">
        <f>COUNTIF(G12:G79,"x")</f>
        <v>0</v>
      </c>
      <c r="H81" s="363">
        <f t="shared" ref="H81" si="7">COUNTIF(H12:H79,"x")</f>
        <v>0</v>
      </c>
      <c r="I81" s="363">
        <f>COUNTIF(I12:I79,"x")</f>
        <v>0</v>
      </c>
      <c r="J81" s="391" t="str">
        <f>IF(I80=2,"zertifizierbar","nicht zertifizierbar")</f>
        <v>nicht zertifizierbar</v>
      </c>
    </row>
    <row r="83" spans="3:11" ht="15.5">
      <c r="C83" s="1614" t="s">
        <v>443</v>
      </c>
      <c r="D83" s="1614"/>
      <c r="E83" s="1614"/>
      <c r="F83" s="1614"/>
      <c r="G83" s="392"/>
      <c r="H83" s="392"/>
      <c r="I83" s="392"/>
      <c r="J83" s="392" t="str">
        <f>IF(COUNTIF(H12:H69,"x")=7,"Erreicht","Nicht erreicht")</f>
        <v>Nicht erreicht</v>
      </c>
      <c r="K83" s="393"/>
    </row>
    <row r="84" spans="3:11" ht="15.5">
      <c r="C84" s="1614" t="s">
        <v>444</v>
      </c>
      <c r="D84" s="1614"/>
      <c r="E84" s="1614"/>
      <c r="F84" s="1614"/>
      <c r="G84" s="392"/>
      <c r="H84" s="392"/>
      <c r="I84" s="392"/>
      <c r="J84" s="392" t="str">
        <f>IF(COUNTIF(I12:I69,"x")=7,"Erreicht","Nicht erreicht")</f>
        <v>Nicht erreicht</v>
      </c>
      <c r="K84" s="393"/>
    </row>
    <row r="86" spans="3:11" ht="15.5">
      <c r="C86" s="1599"/>
      <c r="D86" s="1599"/>
      <c r="E86" s="1599"/>
      <c r="F86" s="1599"/>
      <c r="J86" s="393"/>
    </row>
  </sheetData>
  <sheetProtection algorithmName="SHA-512" hashValue="H6YruH3evdq8kiJt412MxmBoEKVdKzF8ytxeWL7V62qFOoXzLyQsuGNHFwNhcm3sU0CYWNAnnIrK4R6jrky3DA==" saltValue="o518AY9ZN4Oi3c9U36AhbA==" spinCount="100000" sheet="1" objects="1" scenarios="1"/>
  <protectedRanges>
    <protectedRange sqref="C6" name="Bereich40"/>
    <protectedRange sqref="K77" name="Bereich20"/>
    <protectedRange sqref="K75" name="Bereich19"/>
    <protectedRange sqref="K70" name="Bereich18"/>
    <protectedRange sqref="K68" name="Bereich17"/>
    <protectedRange sqref="K66" name="Bereich16"/>
    <protectedRange sqref="K60 K58" name="Bereich14"/>
    <protectedRange sqref="K50:K51" name="Bereich12"/>
    <protectedRange sqref="K47 K64" name="Bereich11"/>
    <protectedRange sqref="K45" name="Bereich10"/>
    <protectedRange sqref="K41:K43" name="Bereich9"/>
    <protectedRange sqref="E41:F43" name="Bereich8"/>
    <protectedRange sqref="K34" name="Bereich7"/>
    <protectedRange sqref="K29:K32" name="Bereich6"/>
    <protectedRange sqref="K24:K27" name="Bereich5"/>
    <protectedRange sqref="K21" name="Bereich4"/>
    <protectedRange sqref="E15:F17" name="Bereich1"/>
    <protectedRange sqref="K15:K17" name="Bereich2"/>
    <protectedRange sqref="K5" name="Bereich21"/>
    <protectedRange sqref="L13 P13" name="Bereich23"/>
    <protectedRange sqref="P15:P17 L15:L17" name="Bereich24"/>
    <protectedRange sqref="P12 L12" name="Bereich25"/>
    <protectedRange sqref="L18:L19 P18:P19" name="Bereich26"/>
    <protectedRange sqref="L21 P21" name="Bereich27"/>
    <protectedRange sqref="L23:L32 P23:P32" name="Bereich28"/>
    <protectedRange sqref="P34:P36 L34:L36" name="Bereich29"/>
    <protectedRange sqref="L41:L43 P41:P43" name="Bereich30"/>
    <protectedRange sqref="L45:L47 P45 P47" name="Bereich31"/>
    <protectedRange sqref="P49:P53 L49:L53" name="Bereich32"/>
    <protectedRange sqref="L57:L58 P57:P58" name="Bereich33"/>
    <protectedRange sqref="P60:P64 L60:L64" name="Bereich34"/>
    <protectedRange sqref="L66 P66" name="Bereich35"/>
    <protectedRange sqref="L68 P68" name="Bereich36"/>
    <protectedRange sqref="L70 P70" name="Bereich37"/>
    <protectedRange sqref="L75 P75" name="Bereich38"/>
    <protectedRange sqref="L77 P77" name="Bereich39"/>
  </protectedRanges>
  <dataConsolidate/>
  <mergeCells count="54">
    <mergeCell ref="P15:P17"/>
    <mergeCell ref="L23:L32"/>
    <mergeCell ref="P23:P32"/>
    <mergeCell ref="B29:J29"/>
    <mergeCell ref="L49:L51"/>
    <mergeCell ref="P49:P51"/>
    <mergeCell ref="L41:L43"/>
    <mergeCell ref="P41:P43"/>
    <mergeCell ref="B21:C21"/>
    <mergeCell ref="B19:C19"/>
    <mergeCell ref="B16:J16"/>
    <mergeCell ref="B17:J17"/>
    <mergeCell ref="B30:J30"/>
    <mergeCell ref="B31:J31"/>
    <mergeCell ref="B32:J32"/>
    <mergeCell ref="B34:C34"/>
    <mergeCell ref="C5:D5"/>
    <mergeCell ref="C6:D6"/>
    <mergeCell ref="C7:D7"/>
    <mergeCell ref="K2:L2"/>
    <mergeCell ref="B15:J15"/>
    <mergeCell ref="B13:C13"/>
    <mergeCell ref="C4:D4"/>
    <mergeCell ref="B2:F2"/>
    <mergeCell ref="L15:L17"/>
    <mergeCell ref="C86:F86"/>
    <mergeCell ref="B49:C49"/>
    <mergeCell ref="B60:C60"/>
    <mergeCell ref="B58:C58"/>
    <mergeCell ref="B75:C75"/>
    <mergeCell ref="B64:C64"/>
    <mergeCell ref="B66:C66"/>
    <mergeCell ref="B70:C70"/>
    <mergeCell ref="B53:C53"/>
    <mergeCell ref="B50:J50"/>
    <mergeCell ref="B51:J51"/>
    <mergeCell ref="B68:D68"/>
    <mergeCell ref="B62:J62"/>
    <mergeCell ref="C81:F81"/>
    <mergeCell ref="C83:F83"/>
    <mergeCell ref="C84:F84"/>
    <mergeCell ref="B23:C23"/>
    <mergeCell ref="B28:C28"/>
    <mergeCell ref="B77:J77"/>
    <mergeCell ref="B36:C36"/>
    <mergeCell ref="B45:C45"/>
    <mergeCell ref="B47:C47"/>
    <mergeCell ref="B24:J24"/>
    <mergeCell ref="B25:J25"/>
    <mergeCell ref="B26:J26"/>
    <mergeCell ref="B27:J27"/>
    <mergeCell ref="B41:J41"/>
    <mergeCell ref="B42:J42"/>
    <mergeCell ref="B43:J43"/>
  </mergeCells>
  <conditionalFormatting sqref="J81">
    <cfRule type="cellIs" dxfId="17" priority="41" operator="equal">
      <formula>$M$10</formula>
    </cfRule>
    <cfRule type="cellIs" dxfId="16" priority="42" operator="equal">
      <formula>$M$11</formula>
    </cfRule>
  </conditionalFormatting>
  <conditionalFormatting sqref="K19 K68 K70 K75 K77">
    <cfRule type="cellIs" dxfId="14" priority="6" operator="equal">
      <formula>$M$12</formula>
    </cfRule>
  </conditionalFormatting>
  <conditionalFormatting sqref="K21">
    <cfRule type="cellIs" dxfId="13" priority="22" operator="greaterThanOrEqual">
      <formula>20.01</formula>
    </cfRule>
  </conditionalFormatting>
  <conditionalFormatting sqref="K34">
    <cfRule type="cellIs" dxfId="12" priority="7" operator="equal">
      <formula>$M$12</formula>
    </cfRule>
  </conditionalFormatting>
  <conditionalFormatting sqref="K45">
    <cfRule type="cellIs" dxfId="11" priority="8" operator="equal">
      <formula>$M$12</formula>
    </cfRule>
  </conditionalFormatting>
  <conditionalFormatting sqref="K47">
    <cfRule type="cellIs" dxfId="10" priority="9" operator="equal">
      <formula>$M$12</formula>
    </cfRule>
  </conditionalFormatting>
  <conditionalFormatting sqref="K49">
    <cfRule type="cellIs" dxfId="9" priority="20" operator="lessThan">
      <formula>$D$49</formula>
    </cfRule>
  </conditionalFormatting>
  <conditionalFormatting sqref="K53">
    <cfRule type="cellIs" dxfId="8" priority="2" operator="equal">
      <formula>$M$12</formula>
    </cfRule>
  </conditionalFormatting>
  <conditionalFormatting sqref="K58">
    <cfRule type="cellIs" dxfId="7" priority="10" operator="equal">
      <formula>$M$12</formula>
    </cfRule>
  </conditionalFormatting>
  <conditionalFormatting sqref="K60">
    <cfRule type="cellIs" dxfId="6" priority="4" operator="equal">
      <formula>$M$12</formula>
    </cfRule>
  </conditionalFormatting>
  <conditionalFormatting sqref="K62">
    <cfRule type="cellIs" dxfId="5" priority="5" operator="equal">
      <formula>$M$12</formula>
    </cfRule>
  </conditionalFormatting>
  <conditionalFormatting sqref="K64">
    <cfRule type="cellIs" dxfId="4" priority="1" operator="equal">
      <formula>$M$12</formula>
    </cfRule>
  </conditionalFormatting>
  <conditionalFormatting sqref="K66">
    <cfRule type="cellIs" dxfId="3" priority="15" operator="equal">
      <formula>$M$12</formula>
    </cfRule>
  </conditionalFormatting>
  <dataValidations count="4">
    <dataValidation type="list" allowBlank="1" showInputMessage="1" showErrorMessage="1" sqref="K66 K60 K68 K58 K77 K34" xr:uid="{743282F6-DCBE-4B56-89B3-F92D19C3B3BA}">
      <formula1>$M$65:$M$67</formula1>
    </dataValidation>
    <dataValidation type="list" allowBlank="1" showInputMessage="1" showErrorMessage="1" sqref="K70" xr:uid="{BB7E1673-07BF-4D35-B1CF-D507435E8A44}">
      <formula1>$M$70:$M$71</formula1>
    </dataValidation>
    <dataValidation type="list" allowBlank="1" showInputMessage="1" showErrorMessage="1" sqref="K75 K47 K45 K64" xr:uid="{07567C9E-79F4-455E-9C9D-AFD7C68E0C31}">
      <formula1>$M$12:$M$15</formula1>
    </dataValidation>
    <dataValidation type="list" allowBlank="1" showInputMessage="1" showErrorMessage="1" sqref="C6" xr:uid="{6E8AE5A8-CBBF-4ACE-90FF-02BB244E27B5}">
      <formula1>$O$4:$O$5</formula1>
    </dataValidation>
  </dataValidations>
  <hyperlinks>
    <hyperlink ref="B12" r:id="rId1" location="%5B%7B%22num%22%3A28%2C%22gen%22%3A0%7D%2C%7B%22name%22%3A%22XYZ%22%7D%2C68%2C712%2C0%5D" xr:uid="{DE6314AF-AEEC-42C1-8542-E4660224BCF6}"/>
    <hyperlink ref="B40" r:id="rId2" location="%5B%7B%22num%22%3A31%2C%22gen%22%3A0%7D%2C%7B%22name%22%3A%22XYZ%22%7D%2C68%2C712%2C0%5D" xr:uid="{4F62C33D-7DC9-4DE1-9D84-6AA8F1332645}"/>
    <hyperlink ref="B14" r:id="rId3" location="%5B%7B%22num%22%3A39%2C%22gen%22%3A0%7D%2C%7B%22name%22%3A%22XYZ%22%7D%2C68%2C712%2C0%5D" xr:uid="{6BCF91D9-CE00-4557-AEA2-37761E27296A}"/>
    <hyperlink ref="B18" r:id="rId4" location="%5B%7B%22num%22%3A48%2C%22gen%22%3A0%7D%2C%7B%22name%22%3A%22XYZ%22%7D%2C68%2C712%2C0%5D" xr:uid="{EAB137FB-1722-414B-9999-DF92F4274B4A}"/>
    <hyperlink ref="B20" r:id="rId5" location="%5B%7B%22num%22%3A51%2C%22gen%22%3A0%7D%2C%7B%22name%22%3A%22XYZ%22%7D%2C68%2C712%2C0%5D" xr:uid="{3B360900-48AA-4C27-A7FB-03E9DD7AC15D}"/>
    <hyperlink ref="B22" r:id="rId6" location="%5B%7B%22num%22%3A86%2C%22gen%22%3A0%7D%2C%7B%22name%22%3A%22XYZ%22%7D%2C68%2C712%2C0%5D" xr:uid="{75DE6631-45AD-4F92-B6C0-6364292DE629}"/>
    <hyperlink ref="B33" r:id="rId7" location="%5B%7B%22num%22%3A99%2C%22gen%22%3A0%7D%2C%7B%22name%22%3A%22XYZ%22%7D%2C68%2C712%2C0%5D" xr:uid="{ABA36DC9-7A6D-4354-B30C-EDF0B9722A40}"/>
    <hyperlink ref="B35" r:id="rId8" location="%5B%7B%22num%22%3A106%2C%22gen%22%3A0%7D%2C%7B%22name%22%3A%22XYZ%22%7D%2C68%2C712%2C0%5D" xr:uid="{42BABC2F-C2EF-4AD2-A5B0-AB1ED2CDE981}"/>
    <hyperlink ref="B44" r:id="rId9" location="%5B%7B%22num%22%3A42%2C%22gen%22%3A0%7D%2C%7B%22name%22%3A%22XYZ%22%7D%2C68%2C712%2C0%5D" xr:uid="{7A45D1B4-5971-4584-861B-12A0EF27D1B4}"/>
    <hyperlink ref="B46" r:id="rId10" location="%5B%7B%22num%22%3A64%2C%22gen%22%3A0%7D%2C%7B%22name%22%3A%22XYZ%22%7D%2C68%2C712%2C0%5D" xr:uid="{0476364C-A177-40E8-8611-5E2C3A11FAC1}"/>
    <hyperlink ref="B48" r:id="rId11" location="%5B%7B%22num%22%3A68%2C%22gen%22%3A0%7D%2C%7B%22name%22%3A%22XYZ%22%7D%2C68%2C712%2C0%5D" xr:uid="{7CE73D6D-063A-421F-8A7C-1CA0200AB775}"/>
    <hyperlink ref="B52" r:id="rId12" location="%5B%7B%22num%22%3A90%2C%22gen%22%3A0%7D%2C%7B%22name%22%3A%22XYZ%22%7D%2C68%2C712%2C0%5D" xr:uid="{31278C5C-1885-4B78-9F2F-902A5FFCB22A}"/>
    <hyperlink ref="B57" r:id="rId13" location="%5B%7B%22num%22%3A54%2C%22gen%22%3A0%7D%2C%7B%22name%22%3A%22XYZ%22%7D%2C68%2C712%2C0%5D" xr:uid="{E773BEA2-A2B8-4E7F-95E7-DD58FE701F2A}"/>
    <hyperlink ref="B59" r:id="rId14" location="%5B%7B%22num%22%3A57%2C%22gen%22%3A0%7D%2C%7B%22name%22%3A%22XYZ%22%7D%2C68%2C712%2C0%5D" xr:uid="{05CA8101-30C9-41B7-88FF-8871AD578005}"/>
    <hyperlink ref="B61" r:id="rId15" location="%5B%7B%22num%22%3A71%2C%22gen%22%3A0%7D%2C%7B%22name%22%3A%22XYZ%22%7D%2C68%2C712%2C0%5D" display="10 - Erfüllung von Nutzeranforderungen inkl. Qualitäts-kontrolle der Bauausführung" xr:uid="{D5194540-58AA-4E25-9323-D3F7B28209F7}"/>
    <hyperlink ref="B63" r:id="rId16" location="%5B%7B%22num%22%3A74%2C%22gen%22%3A0%7D%2C%7B%22name%22%3A%22XYZ%22%7D%2C68%2C712%2C0%5D" xr:uid="{CE7D783D-A39A-459F-BBBD-89BB2FA94C58}"/>
    <hyperlink ref="B65" r:id="rId17" location="%5B%7B%22num%22%3A80%2C%22gen%22%3A0%7D%2C%7B%22name%22%3A%22XYZ%22%7D%2C68%2C712%2C0%5D" xr:uid="{9EFC43B8-AB55-47C5-9BBC-EB0CA888BE0A}"/>
    <hyperlink ref="B67" r:id="rId18" location="%5B%7B%22num%22%3A83%2C%22gen%22%3A0%7D%2C%7B%22name%22%3A%22XYZ%22%7D%2C68%2C712%2C0%5D" xr:uid="{0CC61C4F-5082-4FA9-B3E6-B30D67177CD2}"/>
    <hyperlink ref="B69" r:id="rId19" location="%5B%7B%22num%22%3A102%2C%22gen%22%3A0%7D%2C%7B%22name%22%3A%22XYZ%22%7D%2C68%2C712%2C0%5D" xr:uid="{3D0ACE55-A941-4C1F-BA4C-930AE15D6C05}"/>
    <hyperlink ref="B74" r:id="rId20" location="%5B%7B%22num%22%3A93%2C%22gen%22%3A0%7D%2C%7B%22name%22%3A%22XYZ%22%7D%2C68%2C712%2C0%5D" xr:uid="{DE96A349-7C44-4CAB-9B40-F1AAC2A03A88}"/>
    <hyperlink ref="B76" r:id="rId21" location="%5B%7B%22num%22%3A96%2C%22gen%22%3A0%7D%2C%7B%22name%22%3A%22XYZ%22%7D%2C68%2C712%2C0%5D" xr:uid="{6021CC16-8583-4FF0-8C59-FC37EFBF3832}"/>
  </hyperlinks>
  <pageMargins left="0.23622047244094491" right="0.23622047244094491" top="0.74803149606299213" bottom="0.74803149606299213" header="0.31496062992125984" footer="0.31496062992125984"/>
  <pageSetup paperSize="8" scale="42" orientation="landscape" horizontalDpi="300" verticalDpi="300" r:id="rId22"/>
  <drawing r:id="rId23"/>
  <extLst>
    <ext xmlns:x14="http://schemas.microsoft.com/office/spreadsheetml/2009/9/main" uri="{78C0D931-6437-407d-A8EE-F0AAD7539E65}">
      <x14:conditionalFormattings>
        <x14:conditionalFormatting xmlns:xm="http://schemas.microsoft.com/office/excel/2006/main">
          <x14:cfRule type="containsText" priority="43" operator="containsText" id="{5551E828-B9E3-45B1-9655-6C63C227B376}">
            <xm:f>NOT(ISERROR(SEARCH($M$12,K5)))</xm:f>
            <xm:f>$M$12</xm:f>
            <x14:dxf>
              <font>
                <strike val="0"/>
              </font>
              <fill>
                <patternFill>
                  <bgColor rgb="FFFF0000"/>
                </patternFill>
              </fill>
            </x14:dxf>
          </x14:cfRule>
          <xm:sqref>K5</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98B50-0766-4939-9877-52BA0556C130}">
  <dimension ref="B1:L168"/>
  <sheetViews>
    <sheetView topLeftCell="A106" zoomScale="80" zoomScaleNormal="80" workbookViewId="0">
      <selection activeCell="G96" sqref="G96"/>
    </sheetView>
  </sheetViews>
  <sheetFormatPr baseColWidth="10" defaultRowHeight="12.5"/>
  <cols>
    <col min="1" max="1" width="5.36328125" customWidth="1"/>
    <col min="2" max="2" width="69.1796875" customWidth="1"/>
    <col min="3" max="3" width="33.6328125" customWidth="1"/>
    <col min="4" max="4" width="28.6328125" style="2" customWidth="1"/>
    <col min="5" max="5" width="20" customWidth="1"/>
    <col min="6" max="6" width="21" customWidth="1"/>
    <col min="7" max="7" width="20" customWidth="1"/>
    <col min="8" max="8" width="10.7265625" hidden="1" customWidth="1"/>
    <col min="9" max="9" width="19.90625" hidden="1" customWidth="1"/>
    <col min="10" max="11" width="11.36328125" hidden="1" customWidth="1"/>
    <col min="12" max="12" width="31.26953125" customWidth="1"/>
    <col min="13" max="13" width="10.90625" customWidth="1"/>
    <col min="16384" max="16384" width="11.36328125" customWidth="1"/>
  </cols>
  <sheetData>
    <row r="1" spans="2:11" ht="66" customHeight="1">
      <c r="B1" s="950" t="s">
        <v>762</v>
      </c>
    </row>
    <row r="3" spans="2:11" ht="30.75" customHeight="1" thickBot="1">
      <c r="B3" s="948" t="s">
        <v>781</v>
      </c>
    </row>
    <row r="4" spans="2:11" ht="24.75" customHeight="1" thickBot="1">
      <c r="C4" s="712" t="s">
        <v>174</v>
      </c>
      <c r="D4" s="859" t="s">
        <v>53</v>
      </c>
      <c r="F4" s="1635" t="s">
        <v>492</v>
      </c>
    </row>
    <row r="5" spans="2:11" ht="25" customHeight="1">
      <c r="B5" s="696" t="s">
        <v>683</v>
      </c>
      <c r="C5" s="964"/>
      <c r="D5" s="861"/>
      <c r="F5" s="1636"/>
      <c r="H5" s="2">
        <v>0</v>
      </c>
    </row>
    <row r="6" spans="2:11" ht="25" customHeight="1">
      <c r="B6" s="697" t="s">
        <v>684</v>
      </c>
      <c r="C6" s="965"/>
      <c r="D6" s="963"/>
      <c r="F6" s="862"/>
      <c r="G6" s="864" t="s">
        <v>55</v>
      </c>
      <c r="H6" s="471">
        <v>1</v>
      </c>
      <c r="I6" s="471"/>
      <c r="J6" s="101"/>
      <c r="K6" s="101"/>
    </row>
    <row r="7" spans="2:11" ht="25" customHeight="1" thickBot="1">
      <c r="B7" s="1035" t="s">
        <v>685</v>
      </c>
      <c r="C7" s="1036"/>
      <c r="D7" s="861"/>
      <c r="F7" s="863"/>
      <c r="G7" s="324" t="s">
        <v>557</v>
      </c>
      <c r="H7" s="2">
        <v>2</v>
      </c>
      <c r="I7" s="2"/>
      <c r="J7" s="101"/>
      <c r="K7" s="101"/>
    </row>
    <row r="8" spans="2:11" ht="25" customHeight="1" thickBot="1">
      <c r="B8" s="1037" t="s">
        <v>686</v>
      </c>
      <c r="C8" s="1038" t="str">
        <f>IF(C6+C7&gt;0,C5-C7-(C6/2),"")</f>
        <v/>
      </c>
      <c r="D8" s="861"/>
      <c r="E8" s="705"/>
      <c r="F8" s="324"/>
      <c r="G8" s="324"/>
      <c r="H8" s="316"/>
      <c r="I8" s="101"/>
      <c r="J8" s="101"/>
      <c r="K8" s="101"/>
    </row>
    <row r="9" spans="2:11" ht="25" customHeight="1" thickBot="1">
      <c r="B9" s="695" t="s">
        <v>687</v>
      </c>
      <c r="C9" s="966">
        <f>IF(AND(ISNUMBER(C5),ISNUMBER(C8)),C8/C5,0)</f>
        <v>0</v>
      </c>
      <c r="D9" s="861"/>
      <c r="I9" s="471"/>
      <c r="J9" s="101"/>
      <c r="K9" s="101"/>
    </row>
    <row r="10" spans="2:11" ht="25" customHeight="1" thickBot="1">
      <c r="B10" s="712" t="s">
        <v>562</v>
      </c>
      <c r="C10" s="967" t="str">
        <f>IF(C6+C7&gt;C5,"Werte kontrollieren!","OK")</f>
        <v>OK</v>
      </c>
      <c r="D10" s="861"/>
      <c r="I10" s="101"/>
      <c r="J10" s="101"/>
      <c r="K10" s="101"/>
    </row>
    <row r="11" spans="2:11">
      <c r="I11" s="101"/>
      <c r="J11" s="101"/>
      <c r="K11" s="101"/>
    </row>
    <row r="12" spans="2:11" ht="25.5" customHeight="1">
      <c r="I12" s="101"/>
      <c r="J12" s="101"/>
      <c r="K12" s="101"/>
    </row>
    <row r="13" spans="2:11" ht="30" customHeight="1">
      <c r="B13" s="948" t="s">
        <v>759</v>
      </c>
      <c r="I13" s="101"/>
      <c r="J13" s="101"/>
      <c r="K13" s="101"/>
    </row>
    <row r="14" spans="2:11" ht="25" customHeight="1" thickBot="1">
      <c r="B14" s="423"/>
      <c r="C14" s="98"/>
      <c r="D14" s="859" t="s">
        <v>53</v>
      </c>
      <c r="I14" s="101"/>
      <c r="J14" s="101"/>
      <c r="K14" s="479"/>
    </row>
    <row r="15" spans="2:11" ht="24.75" customHeight="1" thickBot="1">
      <c r="B15" s="802" t="s">
        <v>542</v>
      </c>
      <c r="C15" s="866"/>
      <c r="D15" s="861"/>
      <c r="I15" s="101"/>
      <c r="J15" s="101"/>
      <c r="K15" s="479"/>
    </row>
    <row r="16" spans="2:11" ht="24.75" customHeight="1" thickBot="1">
      <c r="B16" s="1627" t="s">
        <v>249</v>
      </c>
      <c r="C16" s="1628"/>
      <c r="D16" s="861"/>
      <c r="I16" s="101"/>
      <c r="J16" s="101"/>
      <c r="K16" s="479"/>
    </row>
    <row r="17" spans="2:11" ht="24.75" customHeight="1">
      <c r="B17" s="799" t="s">
        <v>551</v>
      </c>
      <c r="C17" s="867"/>
      <c r="D17" s="861"/>
      <c r="I17" s="101"/>
      <c r="J17" s="101"/>
      <c r="K17" s="479"/>
    </row>
    <row r="18" spans="2:11" ht="24.75" customHeight="1" thickBot="1">
      <c r="B18" s="1039" t="s">
        <v>554</v>
      </c>
      <c r="C18" s="1040"/>
      <c r="D18" s="861"/>
      <c r="I18" s="101"/>
      <c r="J18" s="101"/>
      <c r="K18" s="479"/>
    </row>
    <row r="19" spans="2:11" ht="24.75" customHeight="1" thickBot="1">
      <c r="B19" s="802" t="s">
        <v>553</v>
      </c>
      <c r="C19" s="1041" t="str">
        <f>IF(C17="Ja",C18*40," ")</f>
        <v xml:space="preserve"> </v>
      </c>
      <c r="D19" s="861"/>
      <c r="I19" s="101"/>
      <c r="J19" s="101"/>
      <c r="K19" s="479"/>
    </row>
    <row r="20" spans="2:11" ht="24.75" customHeight="1">
      <c r="B20" s="801" t="s">
        <v>552</v>
      </c>
      <c r="C20" s="867"/>
      <c r="D20" s="861"/>
      <c r="I20" s="101"/>
      <c r="J20" s="101"/>
      <c r="K20" s="479"/>
    </row>
    <row r="21" spans="2:11" ht="24.75" customHeight="1">
      <c r="B21" s="800" t="s">
        <v>243</v>
      </c>
      <c r="C21" s="868"/>
      <c r="D21" s="861"/>
      <c r="I21" s="101"/>
      <c r="J21" s="101"/>
      <c r="K21" s="479"/>
    </row>
    <row r="22" spans="2:11" ht="24.75" customHeight="1">
      <c r="B22" s="800" t="s">
        <v>245</v>
      </c>
      <c r="C22" s="868"/>
      <c r="D22" s="861"/>
      <c r="I22" s="101"/>
      <c r="J22" s="101"/>
      <c r="K22" s="479"/>
    </row>
    <row r="23" spans="2:11" ht="24.75" customHeight="1" thickBot="1">
      <c r="B23" s="1039" t="s">
        <v>246</v>
      </c>
      <c r="C23" s="1040"/>
      <c r="D23" s="861"/>
      <c r="I23" s="101"/>
      <c r="J23" s="101"/>
      <c r="K23" s="479"/>
    </row>
    <row r="24" spans="2:11" ht="24.75" customHeight="1" thickBot="1">
      <c r="B24" s="802" t="s">
        <v>555</v>
      </c>
      <c r="C24" s="1041" t="str">
        <f>IF(C20="Ja",C21*2*(C22*30+C23*10)," ")</f>
        <v xml:space="preserve"> </v>
      </c>
      <c r="D24" s="861"/>
      <c r="I24" s="101"/>
      <c r="J24" s="101"/>
      <c r="K24" s="479"/>
    </row>
    <row r="25" spans="2:11" ht="24.75" customHeight="1" thickBot="1">
      <c r="B25" s="1042" t="s">
        <v>248</v>
      </c>
      <c r="C25" s="1043"/>
      <c r="D25" s="861"/>
      <c r="I25" s="101"/>
      <c r="J25" s="101"/>
      <c r="K25" s="479"/>
    </row>
    <row r="26" spans="2:11" ht="24.75" customHeight="1" thickBot="1">
      <c r="B26" s="802" t="s">
        <v>556</v>
      </c>
      <c r="C26" s="1041">
        <f>C25*40</f>
        <v>0</v>
      </c>
      <c r="D26" s="861"/>
      <c r="I26" s="101"/>
      <c r="J26" s="101"/>
      <c r="K26" s="479"/>
    </row>
    <row r="27" spans="2:11" ht="24.75" customHeight="1" thickBot="1">
      <c r="B27" s="1042" t="s">
        <v>241</v>
      </c>
      <c r="C27" s="1044"/>
      <c r="D27" s="861"/>
      <c r="I27" s="101"/>
      <c r="J27" s="101"/>
      <c r="K27" s="479"/>
    </row>
    <row r="28" spans="2:11" ht="24.75" customHeight="1" thickBot="1">
      <c r="B28" s="802" t="s">
        <v>249</v>
      </c>
      <c r="C28" s="1041">
        <f>IF(C27="Bewässerung/WCs",IF(C20="Ja",C21*2*(C22*30+C23*10),0)+IF(C17="Ja",C18*40,0),C25*40)</f>
        <v>0</v>
      </c>
      <c r="D28" s="861"/>
      <c r="I28" s="101"/>
      <c r="J28" s="101"/>
      <c r="K28" s="479"/>
    </row>
    <row r="29" spans="2:11" ht="24.75" customHeight="1" thickBot="1">
      <c r="B29" s="1045" t="s">
        <v>541</v>
      </c>
      <c r="C29" s="1046"/>
      <c r="D29" s="861"/>
      <c r="I29" s="101"/>
      <c r="J29" s="101"/>
      <c r="K29" s="479"/>
    </row>
    <row r="30" spans="2:11" ht="15.75" customHeight="1">
      <c r="I30" s="101"/>
      <c r="J30" s="101"/>
      <c r="K30" s="479"/>
    </row>
    <row r="31" spans="2:11" ht="15.75" customHeight="1">
      <c r="I31" s="101"/>
      <c r="J31" s="101"/>
      <c r="K31" s="479"/>
    </row>
    <row r="32" spans="2:11" ht="30" customHeight="1">
      <c r="B32" s="948" t="s">
        <v>760</v>
      </c>
      <c r="I32" s="101"/>
      <c r="J32" s="101"/>
      <c r="K32" s="479"/>
    </row>
    <row r="33" spans="2:12" ht="30" customHeight="1">
      <c r="B33" s="949" t="s">
        <v>778</v>
      </c>
      <c r="F33" s="103"/>
      <c r="G33" s="98"/>
      <c r="H33" s="98"/>
      <c r="I33" s="98"/>
      <c r="J33" s="98"/>
      <c r="K33" s="98"/>
    </row>
    <row r="34" spans="2:12" ht="30" customHeight="1" thickBot="1">
      <c r="F34" s="103"/>
      <c r="G34" s="98"/>
      <c r="H34" s="98"/>
      <c r="J34" s="98"/>
      <c r="K34" s="98"/>
    </row>
    <row r="35" spans="2:12" ht="30" customHeight="1" thickBot="1">
      <c r="B35" s="112"/>
      <c r="C35" s="1051" t="s">
        <v>450</v>
      </c>
      <c r="D35" s="1052" t="s">
        <v>53</v>
      </c>
      <c r="E35" s="1629" t="s">
        <v>765</v>
      </c>
      <c r="F35" s="1630"/>
      <c r="G35" s="1628"/>
      <c r="H35" s="98"/>
      <c r="I35" s="484"/>
      <c r="J35" s="98"/>
      <c r="K35" s="98"/>
    </row>
    <row r="36" spans="2:12" ht="30" customHeight="1">
      <c r="B36" s="1048" t="s">
        <v>448</v>
      </c>
      <c r="C36" s="968" t="str">
        <f>IF(AND(ISNUMBER(E58),ISNUMBER(H58)),H58/E58," ")</f>
        <v xml:space="preserve"> </v>
      </c>
      <c r="D36" s="1055"/>
      <c r="E36" s="971" t="s">
        <v>549</v>
      </c>
      <c r="F36" s="698" t="s">
        <v>354</v>
      </c>
      <c r="G36" s="699" t="s">
        <v>347</v>
      </c>
      <c r="H36" s="98"/>
      <c r="I36" s="484"/>
      <c r="J36" s="98"/>
      <c r="K36" s="98"/>
    </row>
    <row r="37" spans="2:12" ht="30" customHeight="1" thickBot="1">
      <c r="B37" s="1049" t="s">
        <v>338</v>
      </c>
      <c r="C37" s="1056" t="str">
        <f>IF(AND(ISNUMBER(E76),ISNUMBER(H76)),H76/E76," ")</f>
        <v xml:space="preserve"> </v>
      </c>
      <c r="D37" s="1057"/>
      <c r="E37" s="972" t="str">
        <f>IF(AND(I39="ERFÜLLT",C38=I58,C39=I76),"Erfüllt","Nicht erfüllt")</f>
        <v>Nicht erfüllt</v>
      </c>
      <c r="F37" s="973" t="str">
        <f>IF(AND(J39="ERFÜLLT",C38=J58,C39=J76),"Erfüllt","Nicht erfüllt")</f>
        <v>Nicht erfüllt</v>
      </c>
      <c r="G37" s="974" t="str">
        <f>IF(AND(K39="ERFÜLLT",C38=K58,C39=K76),"Erfüllt","Nicht erfüllt")</f>
        <v>Nicht erfüllt</v>
      </c>
      <c r="H37" s="98"/>
      <c r="I37" s="484"/>
      <c r="J37" s="98"/>
      <c r="K37" s="98"/>
    </row>
    <row r="38" spans="2:12" ht="30" customHeight="1">
      <c r="B38" s="1047" t="s">
        <v>453</v>
      </c>
      <c r="C38" s="1053">
        <f>COUNTIF(F43:F57,"&gt;0")</f>
        <v>0</v>
      </c>
      <c r="D38" s="1054"/>
      <c r="H38" s="463" t="s">
        <v>451</v>
      </c>
      <c r="I38" s="463" t="s">
        <v>349</v>
      </c>
      <c r="J38" s="464" t="s">
        <v>350</v>
      </c>
      <c r="K38" s="464" t="s">
        <v>351</v>
      </c>
    </row>
    <row r="39" spans="2:12" ht="30" customHeight="1" thickBot="1">
      <c r="B39" s="1050" t="s">
        <v>454</v>
      </c>
      <c r="C39" s="969">
        <f>COUNTIF(F61:F75,"&gt;0")</f>
        <v>0</v>
      </c>
      <c r="D39" s="861"/>
      <c r="H39" s="469" t="s">
        <v>355</v>
      </c>
      <c r="I39" s="470" t="str">
        <f>IF(AND($C$36&lt;=2999.99,$C$37&lt;=0.99),"ERFÜLLT","Nicht erfüllt")</f>
        <v>Nicht erfüllt</v>
      </c>
      <c r="J39" s="470" t="str">
        <f>IF(AND($C$36&lt;=499.99,$C$37&lt;=0.079),"ERFÜLLT","Nicht erfüllt")</f>
        <v>Nicht erfüllt</v>
      </c>
      <c r="K39" s="470" t="str">
        <f>IF(AND($C$36&lt;=299.99,$C$37&lt;=0.039),"ERFÜLLT","Nicht erfüllt")</f>
        <v>Nicht erfüllt</v>
      </c>
    </row>
    <row r="40" spans="2:12" ht="30" customHeight="1" thickBot="1">
      <c r="B40" s="694" t="s">
        <v>455</v>
      </c>
      <c r="C40" s="970" t="str">
        <f>IF(C38=C39,"Ja","NEIN")</f>
        <v>Ja</v>
      </c>
      <c r="D40" s="861"/>
      <c r="F40" s="103"/>
      <c r="G40" s="98"/>
      <c r="H40" s="98"/>
      <c r="I40" s="484"/>
      <c r="J40" s="98"/>
      <c r="K40" s="98"/>
    </row>
    <row r="41" spans="2:12" ht="24.75" customHeight="1" thickBot="1">
      <c r="B41" s="422"/>
      <c r="F41" s="103"/>
      <c r="G41" s="98"/>
      <c r="H41" s="98"/>
      <c r="I41" s="484" t="s">
        <v>360</v>
      </c>
      <c r="J41" s="98"/>
      <c r="K41" s="98"/>
    </row>
    <row r="42" spans="2:12" ht="36" customHeight="1" thickBot="1">
      <c r="B42" s="883" t="s">
        <v>448</v>
      </c>
      <c r="C42" s="884"/>
      <c r="D42" s="885"/>
      <c r="E42" s="485" t="s">
        <v>446</v>
      </c>
      <c r="F42" s="487" t="s">
        <v>361</v>
      </c>
      <c r="G42" s="485" t="s">
        <v>447</v>
      </c>
      <c r="H42" s="646" t="s">
        <v>362</v>
      </c>
      <c r="I42" s="648" t="s">
        <v>349</v>
      </c>
      <c r="J42" s="167" t="s">
        <v>363</v>
      </c>
      <c r="K42" s="816" t="s">
        <v>351</v>
      </c>
      <c r="L42" s="859" t="s">
        <v>53</v>
      </c>
    </row>
    <row r="43" spans="2:12" ht="24.75" customHeight="1">
      <c r="B43" s="714" t="s">
        <v>364</v>
      </c>
      <c r="C43" s="715" t="s">
        <v>445</v>
      </c>
      <c r="D43" s="544"/>
      <c r="E43" s="544"/>
      <c r="F43" s="492"/>
      <c r="G43" s="493" t="str">
        <f t="shared" ref="G43:G57" si="0">IF(AND(F43&gt;0,F43&lt;=299.99),1,IF(AND(F43&gt;=300,F43&lt;=499.99),2,IF(AND(F43&gt;=500,F43&lt;=999.99),3,IF(AND(F43&gt;=1000,F43&lt;=2999.99),4,IF(F43&gt;=3000,5,"")))))</f>
        <v/>
      </c>
      <c r="H43" s="690">
        <f>E43*F43</f>
        <v>0</v>
      </c>
      <c r="I43" s="649" t="str">
        <f t="shared" ref="I43:I57" si="1">IF(AND(F43&gt;0,G43&lt;=4),"ERFÜLLT",IF(F43=0," ","nicht erfüllt"))</f>
        <v xml:space="preserve"> </v>
      </c>
      <c r="J43" s="650" t="str">
        <f t="shared" ref="J43:J57" si="2">IF(AND(F43&gt;0,G43&lt;4),"ERFÜLLT",IF(F43=0," ","nicht erfüllt"))</f>
        <v xml:space="preserve"> </v>
      </c>
      <c r="K43" s="817" t="str">
        <f t="shared" ref="K43:K57" si="3">IF(AND(F43&gt;0,G43&lt;4),"ERFÜLLT",IF(F43=0," ","nicht erfüllt"))</f>
        <v xml:space="preserve"> </v>
      </c>
      <c r="L43" s="814"/>
    </row>
    <row r="44" spans="2:12" ht="24.75" customHeight="1">
      <c r="B44" s="714" t="s">
        <v>365</v>
      </c>
      <c r="C44" s="715" t="s">
        <v>445</v>
      </c>
      <c r="D44" s="545"/>
      <c r="E44" s="545"/>
      <c r="F44" s="492"/>
      <c r="G44" s="493" t="str">
        <f t="shared" si="0"/>
        <v/>
      </c>
      <c r="H44" s="690">
        <f>E44*F44</f>
        <v>0</v>
      </c>
      <c r="I44" s="649" t="str">
        <f t="shared" si="1"/>
        <v xml:space="preserve"> </v>
      </c>
      <c r="J44" s="650" t="str">
        <f t="shared" si="2"/>
        <v xml:space="preserve"> </v>
      </c>
      <c r="K44" s="817" t="str">
        <f t="shared" si="3"/>
        <v xml:space="preserve"> </v>
      </c>
      <c r="L44" s="814"/>
    </row>
    <row r="45" spans="2:12" ht="24.75" customHeight="1">
      <c r="B45" s="714" t="s">
        <v>366</v>
      </c>
      <c r="C45" s="715" t="s">
        <v>445</v>
      </c>
      <c r="D45" s="545"/>
      <c r="E45" s="544"/>
      <c r="F45" s="492"/>
      <c r="G45" s="493" t="str">
        <f t="shared" si="0"/>
        <v/>
      </c>
      <c r="H45" s="690">
        <f t="shared" ref="H45:H57" si="4">E45*F45</f>
        <v>0</v>
      </c>
      <c r="I45" s="649" t="str">
        <f t="shared" si="1"/>
        <v xml:space="preserve"> </v>
      </c>
      <c r="J45" s="650" t="str">
        <f t="shared" si="2"/>
        <v xml:space="preserve"> </v>
      </c>
      <c r="K45" s="817" t="str">
        <f t="shared" si="3"/>
        <v xml:space="preserve"> </v>
      </c>
      <c r="L45" s="814"/>
    </row>
    <row r="46" spans="2:12" ht="24.75" customHeight="1">
      <c r="B46" s="714" t="s">
        <v>367</v>
      </c>
      <c r="C46" s="715" t="s">
        <v>445</v>
      </c>
      <c r="D46" s="545"/>
      <c r="E46" s="544"/>
      <c r="F46" s="492"/>
      <c r="G46" s="493" t="str">
        <f t="shared" si="0"/>
        <v/>
      </c>
      <c r="H46" s="690">
        <f t="shared" si="4"/>
        <v>0</v>
      </c>
      <c r="I46" s="649" t="str">
        <f t="shared" si="1"/>
        <v xml:space="preserve"> </v>
      </c>
      <c r="J46" s="650" t="str">
        <f t="shared" si="2"/>
        <v xml:space="preserve"> </v>
      </c>
      <c r="K46" s="817" t="str">
        <f t="shared" si="3"/>
        <v xml:space="preserve"> </v>
      </c>
      <c r="L46" s="814"/>
    </row>
    <row r="47" spans="2:12" ht="24.75" customHeight="1">
      <c r="B47" s="714" t="s">
        <v>368</v>
      </c>
      <c r="C47" s="715" t="s">
        <v>445</v>
      </c>
      <c r="D47" s="545"/>
      <c r="E47" s="544"/>
      <c r="F47" s="492"/>
      <c r="G47" s="493" t="str">
        <f t="shared" si="0"/>
        <v/>
      </c>
      <c r="H47" s="690">
        <f t="shared" si="4"/>
        <v>0</v>
      </c>
      <c r="I47" s="649" t="str">
        <f t="shared" si="1"/>
        <v xml:space="preserve"> </v>
      </c>
      <c r="J47" s="650" t="str">
        <f t="shared" si="2"/>
        <v xml:space="preserve"> </v>
      </c>
      <c r="K47" s="817" t="str">
        <f t="shared" si="3"/>
        <v xml:space="preserve"> </v>
      </c>
      <c r="L47" s="814"/>
    </row>
    <row r="48" spans="2:12" ht="24.75" customHeight="1">
      <c r="B48" s="714" t="s">
        <v>369</v>
      </c>
      <c r="C48" s="715" t="s">
        <v>445</v>
      </c>
      <c r="D48" s="545"/>
      <c r="E48" s="545"/>
      <c r="F48" s="492"/>
      <c r="G48" s="493" t="str">
        <f t="shared" si="0"/>
        <v/>
      </c>
      <c r="H48" s="690">
        <f t="shared" si="4"/>
        <v>0</v>
      </c>
      <c r="I48" s="649" t="str">
        <f t="shared" si="1"/>
        <v xml:space="preserve"> </v>
      </c>
      <c r="J48" s="650" t="str">
        <f t="shared" si="2"/>
        <v xml:space="preserve"> </v>
      </c>
      <c r="K48" s="817" t="str">
        <f t="shared" si="3"/>
        <v xml:space="preserve"> </v>
      </c>
      <c r="L48" s="814"/>
    </row>
    <row r="49" spans="2:12" ht="24.75" customHeight="1">
      <c r="B49" s="714" t="s">
        <v>370</v>
      </c>
      <c r="C49" s="715" t="s">
        <v>445</v>
      </c>
      <c r="D49" s="545"/>
      <c r="E49" s="544"/>
      <c r="F49" s="492"/>
      <c r="G49" s="493" t="str">
        <f t="shared" si="0"/>
        <v/>
      </c>
      <c r="H49" s="690">
        <f t="shared" si="4"/>
        <v>0</v>
      </c>
      <c r="I49" s="649" t="str">
        <f t="shared" si="1"/>
        <v xml:space="preserve"> </v>
      </c>
      <c r="J49" s="650" t="str">
        <f t="shared" si="2"/>
        <v xml:space="preserve"> </v>
      </c>
      <c r="K49" s="817" t="str">
        <f t="shared" si="3"/>
        <v xml:space="preserve"> </v>
      </c>
      <c r="L49" s="814"/>
    </row>
    <row r="50" spans="2:12" ht="24.75" customHeight="1">
      <c r="B50" s="714" t="s">
        <v>371</v>
      </c>
      <c r="C50" s="715" t="s">
        <v>445</v>
      </c>
      <c r="D50" s="545"/>
      <c r="E50" s="545"/>
      <c r="F50" s="492"/>
      <c r="G50" s="493" t="str">
        <f t="shared" si="0"/>
        <v/>
      </c>
      <c r="H50" s="690">
        <f t="shared" si="4"/>
        <v>0</v>
      </c>
      <c r="I50" s="649" t="str">
        <f t="shared" si="1"/>
        <v xml:space="preserve"> </v>
      </c>
      <c r="J50" s="650" t="str">
        <f t="shared" si="2"/>
        <v xml:space="preserve"> </v>
      </c>
      <c r="K50" s="817" t="str">
        <f t="shared" si="3"/>
        <v xml:space="preserve"> </v>
      </c>
      <c r="L50" s="814"/>
    </row>
    <row r="51" spans="2:12" ht="24.75" customHeight="1">
      <c r="B51" s="714" t="s">
        <v>372</v>
      </c>
      <c r="C51" s="715" t="s">
        <v>445</v>
      </c>
      <c r="D51" s="545"/>
      <c r="E51" s="544"/>
      <c r="F51" s="492"/>
      <c r="G51" s="493" t="str">
        <f t="shared" si="0"/>
        <v/>
      </c>
      <c r="H51" s="690">
        <f t="shared" si="4"/>
        <v>0</v>
      </c>
      <c r="I51" s="649" t="str">
        <f t="shared" si="1"/>
        <v xml:space="preserve"> </v>
      </c>
      <c r="J51" s="650" t="str">
        <f t="shared" si="2"/>
        <v xml:space="preserve"> </v>
      </c>
      <c r="K51" s="817" t="str">
        <f t="shared" si="3"/>
        <v xml:space="preserve"> </v>
      </c>
      <c r="L51" s="814"/>
    </row>
    <row r="52" spans="2:12" ht="24.75" customHeight="1">
      <c r="B52" s="714" t="s">
        <v>373</v>
      </c>
      <c r="C52" s="715" t="s">
        <v>445</v>
      </c>
      <c r="D52" s="545"/>
      <c r="E52" s="545"/>
      <c r="F52" s="492"/>
      <c r="G52" s="493" t="str">
        <f t="shared" si="0"/>
        <v/>
      </c>
      <c r="H52" s="690">
        <f t="shared" si="4"/>
        <v>0</v>
      </c>
      <c r="I52" s="649" t="str">
        <f t="shared" si="1"/>
        <v xml:space="preserve"> </v>
      </c>
      <c r="J52" s="650" t="str">
        <f t="shared" si="2"/>
        <v xml:space="preserve"> </v>
      </c>
      <c r="K52" s="817" t="str">
        <f t="shared" si="3"/>
        <v xml:space="preserve"> </v>
      </c>
      <c r="L52" s="814"/>
    </row>
    <row r="53" spans="2:12" ht="24.75" customHeight="1">
      <c r="B53" s="714" t="s">
        <v>374</v>
      </c>
      <c r="C53" s="715" t="s">
        <v>445</v>
      </c>
      <c r="D53" s="545"/>
      <c r="E53" s="544"/>
      <c r="F53" s="492"/>
      <c r="G53" s="493" t="str">
        <f t="shared" si="0"/>
        <v/>
      </c>
      <c r="H53" s="690">
        <f t="shared" si="4"/>
        <v>0</v>
      </c>
      <c r="I53" s="649" t="str">
        <f t="shared" si="1"/>
        <v xml:space="preserve"> </v>
      </c>
      <c r="J53" s="650" t="str">
        <f t="shared" si="2"/>
        <v xml:space="preserve"> </v>
      </c>
      <c r="K53" s="817" t="str">
        <f t="shared" si="3"/>
        <v xml:space="preserve"> </v>
      </c>
      <c r="L53" s="814"/>
    </row>
    <row r="54" spans="2:12" ht="24.75" customHeight="1">
      <c r="B54" s="714" t="s">
        <v>375</v>
      </c>
      <c r="C54" s="715" t="s">
        <v>445</v>
      </c>
      <c r="D54" s="545"/>
      <c r="E54" s="545"/>
      <c r="F54" s="492"/>
      <c r="G54" s="493" t="str">
        <f t="shared" si="0"/>
        <v/>
      </c>
      <c r="H54" s="690">
        <f t="shared" si="4"/>
        <v>0</v>
      </c>
      <c r="I54" s="649" t="str">
        <f t="shared" si="1"/>
        <v xml:space="preserve"> </v>
      </c>
      <c r="J54" s="650" t="str">
        <f t="shared" si="2"/>
        <v xml:space="preserve"> </v>
      </c>
      <c r="K54" s="817" t="str">
        <f t="shared" si="3"/>
        <v xml:space="preserve"> </v>
      </c>
      <c r="L54" s="814"/>
    </row>
    <row r="55" spans="2:12" ht="24.75" customHeight="1">
      <c r="B55" s="714" t="s">
        <v>376</v>
      </c>
      <c r="C55" s="715" t="s">
        <v>445</v>
      </c>
      <c r="D55" s="545"/>
      <c r="E55" s="544"/>
      <c r="F55" s="492"/>
      <c r="G55" s="493" t="str">
        <f t="shared" si="0"/>
        <v/>
      </c>
      <c r="H55" s="690">
        <f t="shared" si="4"/>
        <v>0</v>
      </c>
      <c r="I55" s="649" t="str">
        <f t="shared" si="1"/>
        <v xml:space="preserve"> </v>
      </c>
      <c r="J55" s="650" t="str">
        <f t="shared" si="2"/>
        <v xml:space="preserve"> </v>
      </c>
      <c r="K55" s="817" t="str">
        <f t="shared" si="3"/>
        <v xml:space="preserve"> </v>
      </c>
      <c r="L55" s="814"/>
    </row>
    <row r="56" spans="2:12" ht="24.75" customHeight="1">
      <c r="B56" s="714" t="s">
        <v>377</v>
      </c>
      <c r="C56" s="715" t="s">
        <v>445</v>
      </c>
      <c r="D56" s="545"/>
      <c r="E56" s="545"/>
      <c r="F56" s="492"/>
      <c r="G56" s="493" t="str">
        <f t="shared" si="0"/>
        <v/>
      </c>
      <c r="H56" s="690">
        <f t="shared" si="4"/>
        <v>0</v>
      </c>
      <c r="I56" s="649" t="str">
        <f t="shared" si="1"/>
        <v xml:space="preserve"> </v>
      </c>
      <c r="J56" s="650" t="str">
        <f t="shared" si="2"/>
        <v xml:space="preserve"> </v>
      </c>
      <c r="K56" s="817" t="str">
        <f t="shared" si="3"/>
        <v xml:space="preserve"> </v>
      </c>
      <c r="L56" s="814"/>
    </row>
    <row r="57" spans="2:12" ht="24.75" customHeight="1" thickBot="1">
      <c r="B57" s="716" t="s">
        <v>378</v>
      </c>
      <c r="C57" s="715" t="s">
        <v>445</v>
      </c>
      <c r="D57" s="860"/>
      <c r="E57" s="546"/>
      <c r="F57" s="492"/>
      <c r="G57" s="693" t="str">
        <f t="shared" si="0"/>
        <v/>
      </c>
      <c r="H57" s="691">
        <f t="shared" si="4"/>
        <v>0</v>
      </c>
      <c r="I57" s="649" t="str">
        <f t="shared" si="1"/>
        <v xml:space="preserve"> </v>
      </c>
      <c r="J57" s="651" t="str">
        <f t="shared" si="2"/>
        <v xml:space="preserve"> </v>
      </c>
      <c r="K57" s="817" t="str">
        <f t="shared" si="3"/>
        <v xml:space="preserve"> </v>
      </c>
      <c r="L57" s="814"/>
    </row>
    <row r="58" spans="2:12" ht="24.75" customHeight="1" thickBot="1">
      <c r="B58" s="881" t="s">
        <v>122</v>
      </c>
      <c r="C58" s="882"/>
      <c r="D58" s="890"/>
      <c r="E58" s="878" t="str">
        <f>IF(SUM(E43:E57)&gt;0,SUM(E43:E57)," ")</f>
        <v xml:space="preserve"> </v>
      </c>
      <c r="F58" s="495"/>
      <c r="G58" s="692"/>
      <c r="H58" s="645" t="str">
        <f>IF(SUM(H43:H57)&gt;0,SUM(H43:H57)," ")</f>
        <v xml:space="preserve"> </v>
      </c>
      <c r="I58" s="665">
        <f>COUNTIF(I43:I57,"ERFÜLLT")</f>
        <v>0</v>
      </c>
      <c r="J58" s="666">
        <f>COUNTIF(J43:J57,"ERFÜLLT")</f>
        <v>0</v>
      </c>
      <c r="K58" s="664">
        <f>COUNTIF(K43:K57,"ERFÜLLT")</f>
        <v>0</v>
      </c>
      <c r="L58" s="814"/>
    </row>
    <row r="59" spans="2:12" ht="24.75" customHeight="1" thickBot="1">
      <c r="B59" s="98"/>
      <c r="C59" s="98"/>
      <c r="D59" s="250"/>
      <c r="E59" s="98"/>
      <c r="F59" s="103"/>
      <c r="G59" s="98"/>
      <c r="H59" s="98"/>
      <c r="I59" s="295"/>
      <c r="J59" s="295"/>
      <c r="K59" s="295"/>
    </row>
    <row r="60" spans="2:12" ht="36" customHeight="1" thickBot="1">
      <c r="B60" s="883" t="s">
        <v>338</v>
      </c>
      <c r="C60" s="884"/>
      <c r="D60" s="885"/>
      <c r="E60" s="485" t="s">
        <v>446</v>
      </c>
      <c r="F60" s="487" t="s">
        <v>449</v>
      </c>
      <c r="G60" s="485" t="s">
        <v>447</v>
      </c>
      <c r="H60" s="646" t="s">
        <v>362</v>
      </c>
      <c r="I60" s="648" t="s">
        <v>349</v>
      </c>
      <c r="J60" s="167" t="s">
        <v>363</v>
      </c>
      <c r="K60" s="816" t="s">
        <v>351</v>
      </c>
      <c r="L60" s="859" t="s">
        <v>53</v>
      </c>
    </row>
    <row r="61" spans="2:12" ht="24.75" customHeight="1">
      <c r="B61" s="717" t="s">
        <v>364</v>
      </c>
      <c r="C61" s="715" t="s">
        <v>445</v>
      </c>
      <c r="D61" s="701" t="str">
        <f t="shared" ref="D61:E75" si="5">IF(ISBLANK(D43)," ",D43)</f>
        <v xml:space="preserve"> </v>
      </c>
      <c r="E61" s="701" t="str">
        <f>IF(ISBLANK(E43)," ",E43)</f>
        <v xml:space="preserve"> </v>
      </c>
      <c r="F61" s="492"/>
      <c r="G61" s="493" t="str">
        <f t="shared" ref="G61:G75" si="6">IF(AND(F61&gt;0,F61&lt;=0.039),1,IF(AND(F61&gt;=0.04,F61&lt;=0.079),2,IF(AND(F61&gt;=0.08,F61&lt;=0.099),3,IF(F61&gt;=0.1,4,""))))</f>
        <v/>
      </c>
      <c r="H61" s="647">
        <f t="shared" ref="H61:H75" si="7">IF(E61=" ",0,E61*F61)</f>
        <v>0</v>
      </c>
      <c r="I61" s="649" t="str">
        <f t="shared" ref="I61:I75" si="8">IF(AND(F61&gt;0,G61&lt;=4),"ERFÜLLT",IF(F61=0," ","nicht erfüllt"))</f>
        <v xml:space="preserve"> </v>
      </c>
      <c r="J61" s="650" t="str">
        <f t="shared" ref="J61:J75" si="9">IF(AND(F61&gt;0,G61&lt;4),"ERFÜLLT",IF(F61=0," ","nicht erfüllt"))</f>
        <v xml:space="preserve"> </v>
      </c>
      <c r="K61" s="817" t="str">
        <f t="shared" ref="K61:K75" si="10">IF(AND(F61&gt;0,G61&lt;4),"ERFÜLLT",IF(F61=0," ","nicht erfüllt"))</f>
        <v xml:space="preserve"> </v>
      </c>
      <c r="L61" s="814"/>
    </row>
    <row r="62" spans="2:12" ht="24.75" customHeight="1">
      <c r="B62" s="717" t="s">
        <v>365</v>
      </c>
      <c r="C62" s="715" t="s">
        <v>445</v>
      </c>
      <c r="D62" s="701" t="str">
        <f t="shared" si="5"/>
        <v xml:space="preserve"> </v>
      </c>
      <c r="E62" s="701" t="str">
        <f>IF(ISBLANK(E44)," ",E44)</f>
        <v xml:space="preserve"> </v>
      </c>
      <c r="F62" s="492"/>
      <c r="G62" s="493" t="str">
        <f t="shared" si="6"/>
        <v/>
      </c>
      <c r="H62" s="647">
        <f t="shared" si="7"/>
        <v>0</v>
      </c>
      <c r="I62" s="649" t="str">
        <f t="shared" si="8"/>
        <v xml:space="preserve"> </v>
      </c>
      <c r="J62" s="650" t="str">
        <f t="shared" si="9"/>
        <v xml:space="preserve"> </v>
      </c>
      <c r="K62" s="817" t="str">
        <f t="shared" si="10"/>
        <v xml:space="preserve"> </v>
      </c>
      <c r="L62" s="814"/>
    </row>
    <row r="63" spans="2:12" ht="24.75" customHeight="1">
      <c r="B63" s="717" t="s">
        <v>366</v>
      </c>
      <c r="C63" s="715" t="s">
        <v>445</v>
      </c>
      <c r="D63" s="701" t="str">
        <f t="shared" si="5"/>
        <v xml:space="preserve"> </v>
      </c>
      <c r="E63" s="701" t="str">
        <f t="shared" si="5"/>
        <v xml:space="preserve"> </v>
      </c>
      <c r="F63" s="492"/>
      <c r="G63" s="493" t="str">
        <f t="shared" si="6"/>
        <v/>
      </c>
      <c r="H63" s="647">
        <f t="shared" si="7"/>
        <v>0</v>
      </c>
      <c r="I63" s="649" t="str">
        <f t="shared" si="8"/>
        <v xml:space="preserve"> </v>
      </c>
      <c r="J63" s="650" t="str">
        <f t="shared" si="9"/>
        <v xml:space="preserve"> </v>
      </c>
      <c r="K63" s="817" t="str">
        <f t="shared" si="10"/>
        <v xml:space="preserve"> </v>
      </c>
      <c r="L63" s="814"/>
    </row>
    <row r="64" spans="2:12" ht="24.75" customHeight="1">
      <c r="B64" s="717" t="s">
        <v>367</v>
      </c>
      <c r="C64" s="715" t="s">
        <v>445</v>
      </c>
      <c r="D64" s="701" t="str">
        <f t="shared" si="5"/>
        <v xml:space="preserve"> </v>
      </c>
      <c r="E64" s="701" t="str">
        <f t="shared" si="5"/>
        <v xml:space="preserve"> </v>
      </c>
      <c r="F64" s="492"/>
      <c r="G64" s="493" t="str">
        <f t="shared" si="6"/>
        <v/>
      </c>
      <c r="H64" s="647">
        <f t="shared" si="7"/>
        <v>0</v>
      </c>
      <c r="I64" s="649" t="str">
        <f t="shared" si="8"/>
        <v xml:space="preserve"> </v>
      </c>
      <c r="J64" s="650" t="str">
        <f t="shared" si="9"/>
        <v xml:space="preserve"> </v>
      </c>
      <c r="K64" s="817" t="str">
        <f t="shared" si="10"/>
        <v xml:space="preserve"> </v>
      </c>
      <c r="L64" s="814"/>
    </row>
    <row r="65" spans="2:12" ht="24.75" customHeight="1">
      <c r="B65" s="717" t="s">
        <v>368</v>
      </c>
      <c r="C65" s="715" t="s">
        <v>445</v>
      </c>
      <c r="D65" s="701" t="str">
        <f t="shared" si="5"/>
        <v xml:space="preserve"> </v>
      </c>
      <c r="E65" s="701" t="str">
        <f t="shared" si="5"/>
        <v xml:space="preserve"> </v>
      </c>
      <c r="F65" s="492"/>
      <c r="G65" s="493" t="str">
        <f t="shared" si="6"/>
        <v/>
      </c>
      <c r="H65" s="647">
        <f t="shared" si="7"/>
        <v>0</v>
      </c>
      <c r="I65" s="649" t="str">
        <f t="shared" si="8"/>
        <v xml:space="preserve"> </v>
      </c>
      <c r="J65" s="650" t="str">
        <f t="shared" si="9"/>
        <v xml:space="preserve"> </v>
      </c>
      <c r="K65" s="817" t="str">
        <f t="shared" si="10"/>
        <v xml:space="preserve"> </v>
      </c>
      <c r="L65" s="814"/>
    </row>
    <row r="66" spans="2:12" ht="24.75" customHeight="1">
      <c r="B66" s="717" t="s">
        <v>369</v>
      </c>
      <c r="C66" s="715" t="s">
        <v>445</v>
      </c>
      <c r="D66" s="701" t="str">
        <f t="shared" si="5"/>
        <v xml:space="preserve"> </v>
      </c>
      <c r="E66" s="701" t="str">
        <f t="shared" si="5"/>
        <v xml:space="preserve"> </v>
      </c>
      <c r="F66" s="492"/>
      <c r="G66" s="493" t="str">
        <f t="shared" si="6"/>
        <v/>
      </c>
      <c r="H66" s="647">
        <f t="shared" si="7"/>
        <v>0</v>
      </c>
      <c r="I66" s="649" t="str">
        <f t="shared" si="8"/>
        <v xml:space="preserve"> </v>
      </c>
      <c r="J66" s="650" t="str">
        <f t="shared" si="9"/>
        <v xml:space="preserve"> </v>
      </c>
      <c r="K66" s="817" t="str">
        <f t="shared" si="10"/>
        <v xml:space="preserve"> </v>
      </c>
      <c r="L66" s="814"/>
    </row>
    <row r="67" spans="2:12" ht="24.75" customHeight="1">
      <c r="B67" s="717" t="s">
        <v>370</v>
      </c>
      <c r="C67" s="715" t="s">
        <v>445</v>
      </c>
      <c r="D67" s="701" t="str">
        <f t="shared" si="5"/>
        <v xml:space="preserve"> </v>
      </c>
      <c r="E67" s="701" t="str">
        <f t="shared" si="5"/>
        <v xml:space="preserve"> </v>
      </c>
      <c r="F67" s="492"/>
      <c r="G67" s="493" t="str">
        <f t="shared" si="6"/>
        <v/>
      </c>
      <c r="H67" s="647">
        <f t="shared" si="7"/>
        <v>0</v>
      </c>
      <c r="I67" s="649" t="str">
        <f t="shared" si="8"/>
        <v xml:space="preserve"> </v>
      </c>
      <c r="J67" s="650" t="str">
        <f t="shared" si="9"/>
        <v xml:space="preserve"> </v>
      </c>
      <c r="K67" s="817" t="str">
        <f t="shared" si="10"/>
        <v xml:space="preserve"> </v>
      </c>
      <c r="L67" s="814"/>
    </row>
    <row r="68" spans="2:12" ht="24.75" customHeight="1">
      <c r="B68" s="717" t="s">
        <v>371</v>
      </c>
      <c r="C68" s="715" t="s">
        <v>445</v>
      </c>
      <c r="D68" s="701" t="str">
        <f t="shared" si="5"/>
        <v xml:space="preserve"> </v>
      </c>
      <c r="E68" s="701" t="str">
        <f t="shared" si="5"/>
        <v xml:space="preserve"> </v>
      </c>
      <c r="F68" s="492"/>
      <c r="G68" s="493" t="str">
        <f t="shared" si="6"/>
        <v/>
      </c>
      <c r="H68" s="647">
        <f t="shared" si="7"/>
        <v>0</v>
      </c>
      <c r="I68" s="649" t="str">
        <f t="shared" si="8"/>
        <v xml:space="preserve"> </v>
      </c>
      <c r="J68" s="650" t="str">
        <f t="shared" si="9"/>
        <v xml:space="preserve"> </v>
      </c>
      <c r="K68" s="817" t="str">
        <f t="shared" si="10"/>
        <v xml:space="preserve"> </v>
      </c>
      <c r="L68" s="814"/>
    </row>
    <row r="69" spans="2:12" ht="24.75" customHeight="1">
      <c r="B69" s="717" t="s">
        <v>372</v>
      </c>
      <c r="C69" s="715" t="s">
        <v>445</v>
      </c>
      <c r="D69" s="701" t="str">
        <f t="shared" si="5"/>
        <v xml:space="preserve"> </v>
      </c>
      <c r="E69" s="701" t="str">
        <f t="shared" si="5"/>
        <v xml:space="preserve"> </v>
      </c>
      <c r="F69" s="492"/>
      <c r="G69" s="493" t="str">
        <f t="shared" si="6"/>
        <v/>
      </c>
      <c r="H69" s="647">
        <f t="shared" si="7"/>
        <v>0</v>
      </c>
      <c r="I69" s="649" t="str">
        <f t="shared" si="8"/>
        <v xml:space="preserve"> </v>
      </c>
      <c r="J69" s="650" t="str">
        <f t="shared" si="9"/>
        <v xml:space="preserve"> </v>
      </c>
      <c r="K69" s="817" t="str">
        <f t="shared" si="10"/>
        <v xml:space="preserve"> </v>
      </c>
      <c r="L69" s="814"/>
    </row>
    <row r="70" spans="2:12" ht="24.75" customHeight="1">
      <c r="B70" s="717" t="s">
        <v>373</v>
      </c>
      <c r="C70" s="715" t="s">
        <v>445</v>
      </c>
      <c r="D70" s="701" t="str">
        <f t="shared" si="5"/>
        <v xml:space="preserve"> </v>
      </c>
      <c r="E70" s="701" t="str">
        <f t="shared" si="5"/>
        <v xml:space="preserve"> </v>
      </c>
      <c r="F70" s="492"/>
      <c r="G70" s="493" t="str">
        <f t="shared" si="6"/>
        <v/>
      </c>
      <c r="H70" s="647">
        <f t="shared" si="7"/>
        <v>0</v>
      </c>
      <c r="I70" s="649" t="str">
        <f t="shared" si="8"/>
        <v xml:space="preserve"> </v>
      </c>
      <c r="J70" s="650" t="str">
        <f t="shared" si="9"/>
        <v xml:space="preserve"> </v>
      </c>
      <c r="K70" s="817" t="str">
        <f t="shared" si="10"/>
        <v xml:space="preserve"> </v>
      </c>
      <c r="L70" s="814"/>
    </row>
    <row r="71" spans="2:12" ht="24.75" customHeight="1">
      <c r="B71" s="717" t="s">
        <v>374</v>
      </c>
      <c r="C71" s="715" t="s">
        <v>445</v>
      </c>
      <c r="D71" s="701" t="str">
        <f t="shared" si="5"/>
        <v xml:space="preserve"> </v>
      </c>
      <c r="E71" s="701" t="str">
        <f t="shared" si="5"/>
        <v xml:space="preserve"> </v>
      </c>
      <c r="F71" s="492"/>
      <c r="G71" s="493" t="str">
        <f t="shared" si="6"/>
        <v/>
      </c>
      <c r="H71" s="647">
        <f t="shared" si="7"/>
        <v>0</v>
      </c>
      <c r="I71" s="649" t="str">
        <f t="shared" si="8"/>
        <v xml:space="preserve"> </v>
      </c>
      <c r="J71" s="650" t="str">
        <f t="shared" si="9"/>
        <v xml:space="preserve"> </v>
      </c>
      <c r="K71" s="817" t="str">
        <f t="shared" si="10"/>
        <v xml:space="preserve"> </v>
      </c>
      <c r="L71" s="814"/>
    </row>
    <row r="72" spans="2:12" ht="24.75" customHeight="1">
      <c r="B72" s="717" t="s">
        <v>375</v>
      </c>
      <c r="C72" s="715" t="s">
        <v>445</v>
      </c>
      <c r="D72" s="701" t="str">
        <f t="shared" si="5"/>
        <v xml:space="preserve"> </v>
      </c>
      <c r="E72" s="701" t="str">
        <f t="shared" si="5"/>
        <v xml:space="preserve"> </v>
      </c>
      <c r="F72" s="492"/>
      <c r="G72" s="493" t="str">
        <f t="shared" si="6"/>
        <v/>
      </c>
      <c r="H72" s="647">
        <f t="shared" si="7"/>
        <v>0</v>
      </c>
      <c r="I72" s="649" t="str">
        <f t="shared" si="8"/>
        <v xml:space="preserve"> </v>
      </c>
      <c r="J72" s="650" t="str">
        <f t="shared" si="9"/>
        <v xml:space="preserve"> </v>
      </c>
      <c r="K72" s="817" t="str">
        <f t="shared" si="10"/>
        <v xml:space="preserve"> </v>
      </c>
      <c r="L72" s="814"/>
    </row>
    <row r="73" spans="2:12" ht="24.75" customHeight="1">
      <c r="B73" s="717" t="s">
        <v>376</v>
      </c>
      <c r="C73" s="715" t="s">
        <v>445</v>
      </c>
      <c r="D73" s="701" t="str">
        <f t="shared" si="5"/>
        <v xml:space="preserve"> </v>
      </c>
      <c r="E73" s="701" t="str">
        <f t="shared" si="5"/>
        <v xml:space="preserve"> </v>
      </c>
      <c r="F73" s="492"/>
      <c r="G73" s="493" t="str">
        <f t="shared" si="6"/>
        <v/>
      </c>
      <c r="H73" s="647">
        <f t="shared" si="7"/>
        <v>0</v>
      </c>
      <c r="I73" s="649" t="str">
        <f t="shared" si="8"/>
        <v xml:space="preserve"> </v>
      </c>
      <c r="J73" s="650" t="str">
        <f t="shared" si="9"/>
        <v xml:space="preserve"> </v>
      </c>
      <c r="K73" s="817" t="str">
        <f t="shared" si="10"/>
        <v xml:space="preserve"> </v>
      </c>
      <c r="L73" s="814"/>
    </row>
    <row r="74" spans="2:12" ht="24.75" customHeight="1">
      <c r="B74" s="717" t="s">
        <v>377</v>
      </c>
      <c r="C74" s="715" t="s">
        <v>445</v>
      </c>
      <c r="D74" s="701" t="str">
        <f t="shared" si="5"/>
        <v xml:space="preserve"> </v>
      </c>
      <c r="E74" s="701" t="str">
        <f t="shared" si="5"/>
        <v xml:space="preserve"> </v>
      </c>
      <c r="F74" s="492"/>
      <c r="G74" s="493" t="str">
        <f t="shared" si="6"/>
        <v/>
      </c>
      <c r="H74" s="647">
        <f t="shared" si="7"/>
        <v>0</v>
      </c>
      <c r="I74" s="649" t="str">
        <f t="shared" si="8"/>
        <v xml:space="preserve"> </v>
      </c>
      <c r="J74" s="650" t="str">
        <f t="shared" si="9"/>
        <v xml:space="preserve"> </v>
      </c>
      <c r="K74" s="817" t="str">
        <f t="shared" si="10"/>
        <v xml:space="preserve"> </v>
      </c>
      <c r="L74" s="814"/>
    </row>
    <row r="75" spans="2:12" ht="24.75" customHeight="1" thickBot="1">
      <c r="B75" s="717" t="s">
        <v>378</v>
      </c>
      <c r="C75" s="715" t="s">
        <v>445</v>
      </c>
      <c r="D75" s="701" t="str">
        <f t="shared" si="5"/>
        <v xml:space="preserve"> </v>
      </c>
      <c r="E75" s="701" t="str">
        <f t="shared" si="5"/>
        <v xml:space="preserve"> </v>
      </c>
      <c r="F75" s="492"/>
      <c r="G75" s="493" t="str">
        <f t="shared" si="6"/>
        <v/>
      </c>
      <c r="H75" s="647">
        <f t="shared" si="7"/>
        <v>0</v>
      </c>
      <c r="I75" s="649" t="str">
        <f t="shared" si="8"/>
        <v xml:space="preserve"> </v>
      </c>
      <c r="J75" s="651" t="str">
        <f t="shared" si="9"/>
        <v xml:space="preserve"> </v>
      </c>
      <c r="K75" s="817" t="str">
        <f t="shared" si="10"/>
        <v xml:space="preserve"> </v>
      </c>
      <c r="L75" s="814"/>
    </row>
    <row r="76" spans="2:12" ht="24.75" customHeight="1" thickBot="1">
      <c r="B76" s="881" t="s">
        <v>122</v>
      </c>
      <c r="C76" s="882"/>
      <c r="D76" s="890"/>
      <c r="E76" s="878" t="str">
        <f>IF(SUM(E61:E75)&gt;0,SUM(E61:E75)," ")</f>
        <v xml:space="preserve"> </v>
      </c>
      <c r="F76" s="495"/>
      <c r="G76" s="496"/>
      <c r="H76" s="664" t="str">
        <f>IF(SUM(H61:H75)&gt;0,SUM(H61:H75)," ")</f>
        <v xml:space="preserve"> </v>
      </c>
      <c r="I76" s="665">
        <f>COUNTIF(I61:I75,"ERFÜLLT")</f>
        <v>0</v>
      </c>
      <c r="J76" s="666">
        <f>COUNTIF(J61:J75,"ERFÜLLT")</f>
        <v>0</v>
      </c>
      <c r="K76" s="664">
        <f>COUNTIF(K61:K75,"ERFÜLLT")</f>
        <v>0</v>
      </c>
      <c r="L76" s="814"/>
    </row>
    <row r="80" spans="2:12" ht="30" customHeight="1">
      <c r="B80" s="948" t="s">
        <v>761</v>
      </c>
    </row>
    <row r="81" spans="2:6" ht="30.75" customHeight="1" thickBot="1">
      <c r="B81" s="700"/>
      <c r="D81" s="859" t="s">
        <v>53</v>
      </c>
    </row>
    <row r="82" spans="2:6" ht="30.75" customHeight="1" thickBot="1">
      <c r="B82" s="694" t="s">
        <v>758</v>
      </c>
      <c r="C82" s="813"/>
      <c r="D82" s="865"/>
    </row>
    <row r="83" spans="2:6" ht="25" customHeight="1"/>
    <row r="85" spans="2:6" ht="7" customHeight="1"/>
    <row r="87" spans="2:6" ht="30" customHeight="1">
      <c r="B87" s="949" t="s">
        <v>791</v>
      </c>
      <c r="C87" s="98"/>
      <c r="D87" s="250"/>
    </row>
    <row r="88" spans="2:6" ht="14.5" thickBot="1">
      <c r="B88" s="700"/>
      <c r="C88" s="98"/>
      <c r="D88" s="250"/>
    </row>
    <row r="89" spans="2:6" ht="30" customHeight="1" thickBot="1">
      <c r="B89" s="886" t="s">
        <v>637</v>
      </c>
      <c r="C89" s="887"/>
      <c r="D89" s="869" t="s">
        <v>662</v>
      </c>
      <c r="E89" s="1631" t="s">
        <v>53</v>
      </c>
      <c r="F89" s="1625"/>
    </row>
    <row r="90" spans="2:6" ht="23.25" customHeight="1" thickBot="1">
      <c r="B90" s="888" t="s">
        <v>783</v>
      </c>
      <c r="C90" s="889"/>
      <c r="D90" s="870"/>
      <c r="E90" s="1447"/>
      <c r="F90" s="1626"/>
    </row>
    <row r="91" spans="2:6" ht="30" customHeight="1" thickBot="1">
      <c r="B91" s="796" t="s">
        <v>638</v>
      </c>
      <c r="C91" s="796" t="s">
        <v>639</v>
      </c>
      <c r="D91" s="875" t="s">
        <v>662</v>
      </c>
      <c r="E91" s="1625"/>
      <c r="F91" s="1626"/>
    </row>
    <row r="92" spans="2:6" ht="28" customHeight="1" thickBot="1">
      <c r="B92" s="1632" t="s">
        <v>640</v>
      </c>
      <c r="C92" s="1633"/>
      <c r="D92" s="1634"/>
      <c r="E92" s="1625"/>
      <c r="F92" s="1626"/>
    </row>
    <row r="93" spans="2:6" ht="38" customHeight="1">
      <c r="B93" s="1222" t="s">
        <v>801</v>
      </c>
      <c r="C93" s="803">
        <v>0.5</v>
      </c>
      <c r="D93" s="870"/>
      <c r="E93" s="1625"/>
      <c r="F93" s="1626"/>
    </row>
    <row r="94" spans="2:6" ht="30.75" customHeight="1">
      <c r="B94" s="806" t="s">
        <v>784</v>
      </c>
      <c r="C94" s="804">
        <v>0.3</v>
      </c>
      <c r="D94" s="871"/>
      <c r="E94" s="1625"/>
      <c r="F94" s="1626"/>
    </row>
    <row r="95" spans="2:6" ht="30.75" customHeight="1" thickBot="1">
      <c r="B95" s="873" t="s">
        <v>785</v>
      </c>
      <c r="C95" s="805">
        <v>0</v>
      </c>
      <c r="D95" s="874"/>
      <c r="E95" s="1625"/>
      <c r="F95" s="1626"/>
    </row>
    <row r="96" spans="2:6" ht="30.75" customHeight="1" thickBot="1">
      <c r="B96" s="1644" t="s">
        <v>641</v>
      </c>
      <c r="C96" s="1645"/>
      <c r="D96" s="1488"/>
      <c r="E96" s="1625"/>
      <c r="F96" s="1626"/>
    </row>
    <row r="97" spans="2:8" ht="25" customHeight="1" thickBot="1">
      <c r="B97" s="1641" t="s">
        <v>642</v>
      </c>
      <c r="C97" s="1646"/>
      <c r="D97" s="1647"/>
      <c r="E97" s="1625"/>
      <c r="F97" s="1626"/>
    </row>
    <row r="98" spans="2:8" ht="24.75" customHeight="1">
      <c r="B98" s="808" t="s">
        <v>786</v>
      </c>
      <c r="C98" s="803">
        <v>1</v>
      </c>
      <c r="D98" s="870"/>
      <c r="E98" s="1625"/>
      <c r="F98" s="1626"/>
    </row>
    <row r="99" spans="2:8" ht="33" customHeight="1" thickBot="1">
      <c r="B99" s="809" t="s">
        <v>787</v>
      </c>
      <c r="C99" s="805">
        <v>1.1000000000000001</v>
      </c>
      <c r="D99" s="872"/>
      <c r="E99" s="1625"/>
      <c r="F99" s="1626"/>
    </row>
    <row r="100" spans="2:8" ht="30" customHeight="1" thickBot="1">
      <c r="B100" s="1641" t="s">
        <v>643</v>
      </c>
      <c r="C100" s="1646"/>
      <c r="D100" s="1647"/>
      <c r="E100" s="1625"/>
      <c r="F100" s="1626"/>
      <c r="H100" t="s">
        <v>543</v>
      </c>
    </row>
    <row r="101" spans="2:8" ht="24.5" customHeight="1">
      <c r="B101" s="808" t="s">
        <v>786</v>
      </c>
      <c r="C101" s="803">
        <v>0.9</v>
      </c>
      <c r="D101" s="870"/>
      <c r="E101" s="1625"/>
      <c r="F101" s="1626"/>
      <c r="H101" t="s">
        <v>544</v>
      </c>
    </row>
    <row r="102" spans="2:8" ht="33" customHeight="1" thickBot="1">
      <c r="B102" s="809" t="s">
        <v>787</v>
      </c>
      <c r="C102" s="805">
        <v>1</v>
      </c>
      <c r="D102" s="874"/>
      <c r="E102" s="1625"/>
      <c r="F102" s="1626"/>
    </row>
    <row r="103" spans="2:8" ht="25.5" customHeight="1" thickBot="1">
      <c r="B103" s="1641" t="s">
        <v>644</v>
      </c>
      <c r="C103" s="1646"/>
      <c r="D103" s="1647"/>
      <c r="E103" s="1625"/>
      <c r="F103" s="1626"/>
    </row>
    <row r="104" spans="2:8" ht="25.5" customHeight="1">
      <c r="B104" s="808" t="s">
        <v>786</v>
      </c>
      <c r="C104" s="803">
        <v>0.7</v>
      </c>
      <c r="D104" s="870"/>
      <c r="E104" s="1625"/>
      <c r="F104" s="1626"/>
    </row>
    <row r="105" spans="2:8" ht="30" customHeight="1" thickBot="1">
      <c r="B105" s="809" t="s">
        <v>787</v>
      </c>
      <c r="C105" s="805">
        <v>0.8</v>
      </c>
      <c r="D105" s="874"/>
      <c r="E105" s="1625"/>
      <c r="F105" s="1626"/>
    </row>
    <row r="106" spans="2:8" ht="25.5" customHeight="1" thickBot="1">
      <c r="B106" s="1641" t="s">
        <v>645</v>
      </c>
      <c r="C106" s="1648"/>
      <c r="D106" s="1647"/>
      <c r="E106" s="1625"/>
      <c r="F106" s="1626"/>
      <c r="H106" s="702">
        <f>COUNTIF(C17:C20,"Ja")</f>
        <v>0</v>
      </c>
    </row>
    <row r="107" spans="2:8" ht="25.5" customHeight="1" thickBot="1">
      <c r="B107" s="1187" t="s">
        <v>646</v>
      </c>
      <c r="C107" s="803">
        <v>1</v>
      </c>
      <c r="D107" s="870"/>
      <c r="E107" s="1625"/>
      <c r="F107" s="1626"/>
    </row>
    <row r="108" spans="2:8" ht="25.5" customHeight="1" thickBot="1">
      <c r="B108" s="1188" t="s">
        <v>647</v>
      </c>
      <c r="C108" s="1201">
        <v>1.1000000000000001</v>
      </c>
      <c r="D108" s="874"/>
      <c r="E108" s="1625"/>
      <c r="F108" s="1626"/>
    </row>
    <row r="109" spans="2:8" ht="25.5" customHeight="1" thickBot="1">
      <c r="B109" s="1200" t="s">
        <v>788</v>
      </c>
      <c r="C109" s="1202">
        <v>1.2</v>
      </c>
      <c r="D109" s="1203"/>
      <c r="E109" s="1637"/>
      <c r="F109" s="1625"/>
    </row>
    <row r="110" spans="2:8" ht="25.5" customHeight="1" thickBot="1">
      <c r="B110" s="1641" t="s">
        <v>648</v>
      </c>
      <c r="C110" s="1648"/>
      <c r="D110" s="1649"/>
      <c r="E110" s="1625"/>
      <c r="F110" s="1626"/>
    </row>
    <row r="111" spans="2:8" ht="25.5" customHeight="1">
      <c r="B111" s="808" t="s">
        <v>649</v>
      </c>
      <c r="C111" s="803">
        <v>0.7</v>
      </c>
      <c r="D111" s="870"/>
      <c r="E111" s="1625"/>
      <c r="F111" s="1626"/>
      <c r="H111" s="363" t="s">
        <v>242</v>
      </c>
    </row>
    <row r="112" spans="2:8" ht="25.5" customHeight="1">
      <c r="B112" s="810" t="s">
        <v>650</v>
      </c>
      <c r="C112" s="804">
        <v>0.6</v>
      </c>
      <c r="D112" s="871"/>
      <c r="E112" s="1625"/>
      <c r="F112" s="1626"/>
      <c r="H112" s="102" t="s">
        <v>244</v>
      </c>
    </row>
    <row r="113" spans="2:8" ht="25.5" customHeight="1" thickBot="1">
      <c r="B113" s="876" t="s">
        <v>689</v>
      </c>
      <c r="C113" s="805">
        <v>0.8</v>
      </c>
      <c r="D113" s="874"/>
      <c r="E113" s="1625"/>
      <c r="F113" s="1626"/>
      <c r="H113" s="102"/>
    </row>
    <row r="114" spans="2:8" ht="25.5" customHeight="1" thickBot="1">
      <c r="B114" s="1638" t="s">
        <v>651</v>
      </c>
      <c r="C114" s="1639"/>
      <c r="D114" s="1640"/>
      <c r="E114" s="1625"/>
      <c r="F114" s="1626"/>
      <c r="H114" s="102"/>
    </row>
    <row r="115" spans="2:8" ht="70.5" customHeight="1" thickBot="1">
      <c r="B115" s="1195" t="s">
        <v>652</v>
      </c>
      <c r="C115" s="1196">
        <v>0.5</v>
      </c>
      <c r="D115" s="1197"/>
      <c r="E115" s="1625"/>
      <c r="F115" s="1626"/>
      <c r="H115" s="363">
        <v>5</v>
      </c>
    </row>
    <row r="116" spans="2:8" ht="48" customHeight="1">
      <c r="B116" s="1193" t="s">
        <v>677</v>
      </c>
      <c r="C116" s="803">
        <v>0.7</v>
      </c>
      <c r="D116" s="1194"/>
      <c r="E116" s="1625"/>
      <c r="F116" s="1626"/>
      <c r="H116" s="363">
        <v>7</v>
      </c>
    </row>
    <row r="117" spans="2:8" ht="31" customHeight="1" thickBot="1">
      <c r="B117" s="876" t="s">
        <v>678</v>
      </c>
      <c r="C117" s="805">
        <v>0.9</v>
      </c>
      <c r="D117" s="874"/>
      <c r="E117" s="1625"/>
      <c r="F117" s="1626"/>
    </row>
    <row r="118" spans="2:8" ht="24.75" customHeight="1" thickBot="1">
      <c r="B118" s="1641" t="s">
        <v>653</v>
      </c>
      <c r="C118" s="1642"/>
      <c r="D118" s="1643"/>
      <c r="E118" s="1447"/>
      <c r="F118" s="1626"/>
    </row>
    <row r="119" spans="2:8" ht="25" customHeight="1">
      <c r="B119" s="808" t="s">
        <v>654</v>
      </c>
      <c r="C119" s="804">
        <v>1.1000000000000001</v>
      </c>
      <c r="D119" s="870"/>
      <c r="E119" s="1625"/>
      <c r="F119" s="1626"/>
    </row>
    <row r="120" spans="2:8" ht="25" customHeight="1" thickBot="1">
      <c r="B120" s="810" t="s">
        <v>655</v>
      </c>
      <c r="C120" s="805">
        <v>1.1000000000000001</v>
      </c>
      <c r="D120" s="871"/>
      <c r="E120" s="1447"/>
      <c r="F120" s="1626"/>
    </row>
    <row r="121" spans="2:8" ht="30.75" customHeight="1" thickBot="1">
      <c r="B121" s="812" t="s">
        <v>656</v>
      </c>
      <c r="C121" s="1199" t="s">
        <v>657</v>
      </c>
      <c r="D121" s="975"/>
      <c r="E121" s="1625"/>
      <c r="F121" s="1626"/>
    </row>
    <row r="122" spans="2:8" ht="25" customHeight="1" thickBot="1">
      <c r="B122" s="808" t="s">
        <v>663</v>
      </c>
      <c r="C122" s="1198"/>
      <c r="D122" s="976">
        <f>C122*75</f>
        <v>0</v>
      </c>
      <c r="E122" s="1626"/>
      <c r="F122" s="1626"/>
    </row>
    <row r="123" spans="2:8" ht="25" customHeight="1" thickBot="1">
      <c r="B123" s="810" t="s">
        <v>664</v>
      </c>
      <c r="C123" s="811"/>
      <c r="D123" s="976">
        <f>C123*20</f>
        <v>0</v>
      </c>
      <c r="E123" s="1626"/>
      <c r="F123" s="1626"/>
    </row>
    <row r="124" spans="2:8" ht="25" customHeight="1" thickBot="1">
      <c r="B124" s="807" t="s">
        <v>665</v>
      </c>
      <c r="C124" s="811"/>
      <c r="D124" s="976">
        <f>C124*5</f>
        <v>0</v>
      </c>
      <c r="E124" s="1626"/>
      <c r="F124" s="1626"/>
    </row>
    <row r="125" spans="2:8" ht="19" customHeight="1" thickBot="1">
      <c r="B125" s="783" t="s">
        <v>658</v>
      </c>
      <c r="C125" s="877" t="s">
        <v>659</v>
      </c>
      <c r="D125" s="1221">
        <f>D93*C93+D94*C94+D95*C95+D98*C98+D99*C99+D101*C101+D102*C102+D104*C104+D105*C105+D107*C107+D108*C108+D111*C111+D112*C112+D113*C113+D115*C115+D116*C116+D117*C117+D119*C119+D120*C120+D122+D123+D124</f>
        <v>0</v>
      </c>
      <c r="E125" s="1626"/>
      <c r="F125" s="1626"/>
    </row>
    <row r="126" spans="2:8" ht="19.5" customHeight="1" thickBot="1">
      <c r="B126" s="783" t="s">
        <v>660</v>
      </c>
      <c r="C126" s="877" t="s">
        <v>661</v>
      </c>
      <c r="D126" s="1220">
        <f>IFERROR(D125/D90,0)</f>
        <v>0</v>
      </c>
      <c r="E126" s="1626"/>
      <c r="F126" s="1626"/>
    </row>
    <row r="127" spans="2:8" ht="27.75" customHeight="1"/>
    <row r="128" spans="2:8" ht="27.75" customHeight="1"/>
    <row r="129" spans="2:4" ht="27.75" customHeight="1" thickBot="1">
      <c r="B129" s="798" t="s">
        <v>772</v>
      </c>
    </row>
    <row r="130" spans="2:4" ht="30" customHeight="1" thickBot="1">
      <c r="C130" s="815" t="s">
        <v>174</v>
      </c>
      <c r="D130" s="859" t="s">
        <v>53</v>
      </c>
    </row>
    <row r="131" spans="2:4" ht="30" customHeight="1">
      <c r="B131" s="1064" t="s">
        <v>774</v>
      </c>
      <c r="C131" s="1205"/>
      <c r="D131" s="963"/>
    </row>
    <row r="132" spans="2:4" ht="30" customHeight="1" thickBot="1">
      <c r="B132" s="1065" t="s">
        <v>558</v>
      </c>
      <c r="C132" s="1206"/>
      <c r="D132" s="963"/>
    </row>
    <row r="133" spans="2:4" ht="30" customHeight="1" thickBot="1">
      <c r="B133" s="713" t="s">
        <v>559</v>
      </c>
      <c r="C133" s="1207">
        <f>IF(C131&gt;0,C132/C131,0)</f>
        <v>0</v>
      </c>
      <c r="D133" s="963"/>
    </row>
    <row r="134" spans="2:4" ht="30" customHeight="1" thickBot="1">
      <c r="B134" s="712" t="s">
        <v>562</v>
      </c>
      <c r="C134" s="967" t="str">
        <f>IF(C132&gt;C131,"Werte kontrollieren!","OK")</f>
        <v>OK</v>
      </c>
      <c r="D134" s="963"/>
    </row>
    <row r="135" spans="2:4" ht="18.75" customHeight="1"/>
    <row r="137" spans="2:4" ht="18.75" customHeight="1"/>
    <row r="138" spans="2:4" ht="18.75" customHeight="1"/>
    <row r="140" spans="2:4" ht="19.5" customHeight="1"/>
    <row r="141" spans="2:4" ht="18.75" customHeight="1"/>
    <row r="142" spans="2:4" ht="18.75" customHeight="1"/>
    <row r="143" spans="2:4" ht="19.5" customHeight="1"/>
    <row r="147" ht="20.25" customHeight="1"/>
    <row r="148" ht="59.5" customHeight="1"/>
    <row r="149" ht="42.75" customHeight="1"/>
    <row r="150" ht="42" customHeight="1"/>
    <row r="151" ht="20.25" customHeight="1"/>
    <row r="152" ht="19" customHeight="1"/>
    <row r="153" ht="19" customHeight="1"/>
    <row r="154" ht="19" customHeight="1"/>
    <row r="155" ht="20.25" customHeight="1"/>
    <row r="156" ht="19" customHeight="1"/>
    <row r="157" ht="19" customHeight="1"/>
    <row r="158" ht="19" customHeight="1"/>
    <row r="159" ht="26.5" customHeight="1"/>
    <row r="160" ht="32.25" customHeight="1"/>
    <row r="164" spans="2:3" ht="27.75" customHeight="1">
      <c r="B164" s="700"/>
    </row>
    <row r="165" spans="2:3" ht="18.75" customHeight="1">
      <c r="B165" s="98"/>
      <c r="C165" s="98"/>
    </row>
    <row r="166" spans="2:3" ht="31.5" customHeight="1"/>
    <row r="167" spans="2:3" ht="32.25" customHeight="1"/>
    <row r="168" spans="2:3" ht="34.5" customHeight="1"/>
  </sheetData>
  <sheetProtection algorithmName="SHA-512" hashValue="T3E2dOT6HD2P97tFvbETuodGe1z0tvvK2fOkmIOK0KZ7EJ/DZuNVhh47KdfC0jeuwZyWd2x/RXKm8CFIDOx90A==" saltValue="qLyx85q7e0apl9E2nVlHJA==" spinCount="100000" sheet="1" objects="1" scenarios="1"/>
  <protectedRanges>
    <protectedRange sqref="D131:D134" name="Bereich28"/>
    <protectedRange sqref="C131:C132" name="Bereich27"/>
    <protectedRange sqref="E90:F126" name="Bereich26"/>
    <protectedRange sqref="C122:C124" name="Bereich25"/>
    <protectedRange sqref="D119:D120" name="Bereich24"/>
    <protectedRange sqref="D115:D117" name="Bereich23"/>
    <protectedRange sqref="D111:D113" name="Bereich22"/>
    <protectedRange sqref="D107:D109" name="Bereich21"/>
    <protectedRange sqref="D104:D105" name="Bereich20"/>
    <protectedRange sqref="D101:D102" name="Bereich19"/>
    <protectedRange sqref="D98:D99" name="Bereich18"/>
    <protectedRange sqref="D93:D95" name="Bereich17"/>
    <protectedRange sqref="D90" name="Bereich16"/>
    <protectedRange sqref="C82:D82" name="Bereich15"/>
    <protectedRange sqref="L61:L76" name="Bereich14"/>
    <protectedRange sqref="F61:F75" name="Bereich13"/>
    <protectedRange sqref="L43:L58" name="Bereich12"/>
    <protectedRange sqref="D43:F57" name="Bereich11"/>
    <protectedRange sqref="D36:D40" name="Bereich10"/>
    <protectedRange sqref="C29" name="Bereich9"/>
    <protectedRange sqref="C27" name="Bereich8"/>
    <protectedRange sqref="C25" name="Bereich7"/>
    <protectedRange sqref="C20:C23" name="Bereich6"/>
    <protectedRange sqref="C17:C18" name="Bereich5"/>
    <protectedRange sqref="C15" name="Bereich4"/>
    <protectedRange sqref="D15:D29" name="Bereich3"/>
    <protectedRange sqref="D5:D10" name="Bereich2"/>
    <protectedRange sqref="C5:C7" name="Bereich1"/>
  </protectedRanges>
  <mergeCells count="50">
    <mergeCell ref="B114:D114"/>
    <mergeCell ref="B118:D118"/>
    <mergeCell ref="B96:D96"/>
    <mergeCell ref="B97:D97"/>
    <mergeCell ref="B100:D100"/>
    <mergeCell ref="B103:D103"/>
    <mergeCell ref="B106:D106"/>
    <mergeCell ref="B110:D110"/>
    <mergeCell ref="E93:F93"/>
    <mergeCell ref="E94:F94"/>
    <mergeCell ref="E95:F95"/>
    <mergeCell ref="E96:F96"/>
    <mergeCell ref="E97:F97"/>
    <mergeCell ref="E98:F98"/>
    <mergeCell ref="E99:F99"/>
    <mergeCell ref="E100:F100"/>
    <mergeCell ref="E101:F101"/>
    <mergeCell ref="E102:F102"/>
    <mergeCell ref="E103:F103"/>
    <mergeCell ref="E104:F104"/>
    <mergeCell ref="E115:F115"/>
    <mergeCell ref="E105:F105"/>
    <mergeCell ref="E106:F106"/>
    <mergeCell ref="E107:F107"/>
    <mergeCell ref="E108:F108"/>
    <mergeCell ref="E110:F110"/>
    <mergeCell ref="E109:F109"/>
    <mergeCell ref="F4:F5"/>
    <mergeCell ref="E125:F125"/>
    <mergeCell ref="E126:F126"/>
    <mergeCell ref="E121:F121"/>
    <mergeCell ref="E122:F122"/>
    <mergeCell ref="E123:F123"/>
    <mergeCell ref="E124:F124"/>
    <mergeCell ref="E116:F116"/>
    <mergeCell ref="E117:F117"/>
    <mergeCell ref="E118:F118"/>
    <mergeCell ref="E119:F119"/>
    <mergeCell ref="E120:F120"/>
    <mergeCell ref="E111:F111"/>
    <mergeCell ref="E112:F112"/>
    <mergeCell ref="E113:F113"/>
    <mergeCell ref="E114:F114"/>
    <mergeCell ref="E91:F91"/>
    <mergeCell ref="E92:F92"/>
    <mergeCell ref="B16:C16"/>
    <mergeCell ref="E35:G35"/>
    <mergeCell ref="E89:F89"/>
    <mergeCell ref="E90:F90"/>
    <mergeCell ref="B92:D92"/>
  </mergeCells>
  <conditionalFormatting sqref="C10">
    <cfRule type="cellIs" dxfId="2" priority="1" operator="equal">
      <formula>"Werte kontrollieren!"</formula>
    </cfRule>
  </conditionalFormatting>
  <conditionalFormatting sqref="C134">
    <cfRule type="cellIs" dxfId="1" priority="2" operator="equal">
      <formula>"Werte kontrollieren!"</formula>
    </cfRule>
  </conditionalFormatting>
  <dataValidations count="4">
    <dataValidation type="list" allowBlank="1" showInputMessage="1" showErrorMessage="1" sqref="C21" xr:uid="{FC10CD48-30D7-476E-A9A5-1AD841152910}">
      <formula1>$H$115:$H$116</formula1>
    </dataValidation>
    <dataValidation type="list" allowBlank="1" showInputMessage="1" showErrorMessage="1" sqref="C27" xr:uid="{3A110212-95E5-4A01-BD8B-15EEB474FA09}">
      <formula1>$H$111:$H$112</formula1>
    </dataValidation>
    <dataValidation type="list" allowBlank="1" showInputMessage="1" showErrorMessage="1" sqref="C20:C21 C17 C15" xr:uid="{43C0B11D-5898-48D0-9E43-F08B93A50BB2}">
      <formula1>$H$100:$H$101</formula1>
    </dataValidation>
    <dataValidation type="list" allowBlank="1" showInputMessage="1" showErrorMessage="1" sqref="C82" xr:uid="{CB58782C-B3E0-4ADB-85F3-6AFFC942B7D1}">
      <formula1>$H$5:$H$7</formula1>
    </dataValidation>
  </dataValidations>
  <pageMargins left="0.7" right="0.7" top="0.78740157499999996" bottom="0.78740157499999996"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id="{A4EAEA1A-0EEE-4FE9-8B81-E5B0A6AA53A8}">
            <xm:f>NOT(ISERROR(SEARCH($M$15,F6)))</xm:f>
            <xm:f>$M$15</xm:f>
            <x14:dxf>
              <font>
                <strike val="0"/>
              </font>
              <fill>
                <patternFill>
                  <bgColor rgb="FFFF0000"/>
                </patternFill>
              </fill>
            </x14:dxf>
          </x14:cfRule>
          <xm:sqref>F6:F7</xm:sqref>
        </x14:conditionalFormatting>
      </x14:conditionalFormatting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926C0-1D1C-4463-A20F-17B082EAAC9C}">
  <dimension ref="A1:C11"/>
  <sheetViews>
    <sheetView tabSelected="1" workbookViewId="0"/>
  </sheetViews>
  <sheetFormatPr baseColWidth="10" defaultRowHeight="12.5"/>
  <cols>
    <col min="1" max="1" width="49.08984375" customWidth="1"/>
    <col min="2" max="2" width="66.7265625" customWidth="1"/>
    <col min="3" max="3" width="20.6328125" customWidth="1"/>
  </cols>
  <sheetData>
    <row r="1" spans="1:3" ht="36" customHeight="1">
      <c r="A1" s="1208" t="s">
        <v>792</v>
      </c>
      <c r="B1" s="1209"/>
      <c r="C1" s="1209"/>
    </row>
    <row r="2" spans="1:3" ht="17" thickBot="1">
      <c r="A2" s="1210"/>
      <c r="B2" s="1209"/>
      <c r="C2" s="1209"/>
    </row>
    <row r="3" spans="1:3" ht="22" customHeight="1" thickBot="1">
      <c r="A3" s="1211" t="s">
        <v>37</v>
      </c>
      <c r="B3" s="1212" t="s">
        <v>793</v>
      </c>
      <c r="C3" s="1212" t="s">
        <v>37</v>
      </c>
    </row>
    <row r="4" spans="1:3" ht="31" customHeight="1" thickBot="1">
      <c r="A4" s="1213" t="s">
        <v>794</v>
      </c>
      <c r="B4" s="1214" t="s">
        <v>795</v>
      </c>
      <c r="C4" s="1217">
        <v>46023</v>
      </c>
    </row>
    <row r="5" spans="1:3" ht="132" customHeight="1" thickBot="1">
      <c r="A5" s="1213" t="s">
        <v>796</v>
      </c>
      <c r="B5" s="1214" t="s">
        <v>797</v>
      </c>
      <c r="C5" s="1217">
        <v>46055</v>
      </c>
    </row>
    <row r="6" spans="1:3" ht="17" thickBot="1">
      <c r="A6" s="1213"/>
      <c r="B6" s="1214"/>
      <c r="C6" s="1215"/>
    </row>
    <row r="7" spans="1:3" ht="23.5" customHeight="1" thickBot="1">
      <c r="A7" s="1213"/>
      <c r="B7" s="1214"/>
      <c r="C7" s="1216"/>
    </row>
    <row r="8" spans="1:3" ht="26.5" customHeight="1" thickBot="1">
      <c r="A8" s="1213"/>
      <c r="B8" s="1214"/>
      <c r="C8" s="1216"/>
    </row>
    <row r="9" spans="1:3" ht="29" customHeight="1" thickBot="1">
      <c r="A9" s="1213"/>
      <c r="B9" s="1214"/>
      <c r="C9" s="1216"/>
    </row>
    <row r="10" spans="1:3" ht="14.5">
      <c r="A10" s="1209"/>
      <c r="B10" s="1209"/>
      <c r="C10" s="1209"/>
    </row>
    <row r="11" spans="1:3" ht="14.5">
      <c r="A11" s="1209"/>
      <c r="B11" s="1209"/>
      <c r="C11" s="1209"/>
    </row>
  </sheetData>
  <sheetProtection algorithmName="SHA-512" hashValue="DQJwMC9KSAfC2nY50ycJWrqq0uL8+ReBOpkiGAHHcKJCHDuU0CVS/Ry/7OsdHhMbDP3WtBKqTy36zZD0NeIDgg==" saltValue="BmP4sF85lb3lcvJNo4qGDg==" spinCount="100000" sheet="1" objects="1" scenarios="1"/>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B3BF4-86A1-4F85-BFB2-1BAB768727AE}">
  <sheetPr codeName="Tabelle8"/>
  <dimension ref="B1:BD41"/>
  <sheetViews>
    <sheetView topLeftCell="R1" workbookViewId="0">
      <selection activeCell="AC8" sqref="AC8"/>
    </sheetView>
  </sheetViews>
  <sheetFormatPr baseColWidth="10" defaultColWidth="11.36328125" defaultRowHeight="14.5"/>
  <cols>
    <col min="1" max="1" width="6.6328125" style="330" customWidth="1"/>
    <col min="2" max="2" width="10.26953125" style="330" hidden="1" customWidth="1"/>
    <col min="3" max="3" width="10.08984375" style="330" hidden="1" customWidth="1"/>
    <col min="4" max="4" width="9.81640625" style="330" customWidth="1"/>
    <col min="5" max="5" width="28.6328125" style="330" customWidth="1"/>
    <col min="6" max="6" width="14.81640625" style="330" customWidth="1"/>
    <col min="7" max="7" width="38.36328125" style="330" hidden="1" customWidth="1"/>
    <col min="8" max="8" width="46" style="330" hidden="1" customWidth="1"/>
    <col min="9" max="9" width="6.7265625" style="330" hidden="1" customWidth="1"/>
    <col min="10" max="10" width="20.08984375" style="330" hidden="1" customWidth="1"/>
    <col min="11" max="11" width="11.36328125" style="330" hidden="1" customWidth="1"/>
    <col min="12" max="12" width="23.36328125" style="330" hidden="1" customWidth="1"/>
    <col min="13" max="13" width="25" style="330" hidden="1" customWidth="1"/>
    <col min="14" max="14" width="28.6328125" style="333" hidden="1" customWidth="1"/>
    <col min="15" max="15" width="18.81640625" style="330" hidden="1" customWidth="1"/>
    <col min="16" max="16" width="16.6328125" style="333" hidden="1" customWidth="1"/>
    <col min="17" max="17" width="0" style="330" hidden="1" customWidth="1"/>
    <col min="18" max="18" width="11.36328125" style="330"/>
    <col min="19" max="19" width="0" style="330" hidden="1" customWidth="1"/>
    <col min="20" max="20" width="11.36328125" style="330"/>
    <col min="21" max="21" width="0" style="330" hidden="1" customWidth="1"/>
    <col min="22" max="22" width="11.36328125" style="330"/>
    <col min="23" max="23" width="0" style="330" hidden="1" customWidth="1"/>
    <col min="24" max="32" width="11.36328125" style="330"/>
    <col min="33" max="33" width="17.36328125" style="330" customWidth="1"/>
    <col min="34" max="34" width="11.36328125" style="330"/>
    <col min="35" max="35" width="11.36328125" style="330" customWidth="1"/>
    <col min="36" max="16384" width="11.36328125" style="330"/>
  </cols>
  <sheetData>
    <row r="1" spans="2:56" ht="24" customHeight="1">
      <c r="E1" s="331" t="s">
        <v>75</v>
      </c>
      <c r="F1" s="332"/>
    </row>
    <row r="2" spans="2:56" ht="6" customHeight="1"/>
    <row r="3" spans="2:56" ht="45" customHeight="1">
      <c r="B3" s="334" t="s">
        <v>76</v>
      </c>
      <c r="C3" s="334" t="s">
        <v>77</v>
      </c>
      <c r="D3" s="334" t="s">
        <v>78</v>
      </c>
      <c r="E3" s="335" t="s">
        <v>79</v>
      </c>
      <c r="F3" s="335" t="s">
        <v>80</v>
      </c>
      <c r="G3" s="336" t="s">
        <v>81</v>
      </c>
      <c r="H3" s="336" t="s">
        <v>82</v>
      </c>
      <c r="I3" s="336" t="s">
        <v>83</v>
      </c>
      <c r="J3" s="337" t="s">
        <v>84</v>
      </c>
      <c r="K3" s="338" t="s">
        <v>85</v>
      </c>
      <c r="L3" s="338" t="s">
        <v>86</v>
      </c>
      <c r="M3" s="338" t="s">
        <v>87</v>
      </c>
      <c r="N3" s="337" t="s">
        <v>88</v>
      </c>
      <c r="O3" s="337" t="s">
        <v>89</v>
      </c>
      <c r="P3" s="337" t="s">
        <v>90</v>
      </c>
      <c r="Q3" s="337" t="s">
        <v>91</v>
      </c>
      <c r="R3" s="339" t="s">
        <v>2</v>
      </c>
      <c r="S3" s="339" t="s">
        <v>92</v>
      </c>
      <c r="T3" s="339" t="s">
        <v>4</v>
      </c>
      <c r="U3" s="339" t="s">
        <v>93</v>
      </c>
      <c r="V3" s="339" t="s">
        <v>7</v>
      </c>
      <c r="W3" s="339" t="s">
        <v>94</v>
      </c>
      <c r="X3" s="339" t="s">
        <v>9</v>
      </c>
      <c r="Y3" s="339" t="s">
        <v>95</v>
      </c>
      <c r="AA3" s="340"/>
      <c r="AB3" s="339" t="s">
        <v>2</v>
      </c>
      <c r="AC3" s="339" t="s">
        <v>4</v>
      </c>
      <c r="AD3" s="339" t="s">
        <v>7</v>
      </c>
      <c r="AE3" s="339" t="s">
        <v>9</v>
      </c>
      <c r="AG3" s="334" t="s">
        <v>78</v>
      </c>
      <c r="AH3" s="342">
        <v>1</v>
      </c>
      <c r="AI3" s="349" t="s">
        <v>96</v>
      </c>
      <c r="AJ3" s="349" t="s">
        <v>66</v>
      </c>
      <c r="AK3" s="342">
        <v>3</v>
      </c>
      <c r="AL3" s="342">
        <v>4</v>
      </c>
      <c r="AM3" s="342">
        <v>5</v>
      </c>
      <c r="AN3" s="342">
        <v>6</v>
      </c>
      <c r="AO3" s="342">
        <v>7</v>
      </c>
      <c r="AP3" s="342">
        <v>8</v>
      </c>
      <c r="AQ3" s="342">
        <v>9</v>
      </c>
      <c r="AR3" s="342">
        <v>10</v>
      </c>
      <c r="AS3" s="342">
        <v>11</v>
      </c>
      <c r="AT3" s="342">
        <v>12</v>
      </c>
      <c r="AU3" s="342">
        <v>13</v>
      </c>
      <c r="AV3" s="342">
        <v>14</v>
      </c>
      <c r="AW3" s="342">
        <v>15</v>
      </c>
      <c r="AX3" s="342">
        <v>16</v>
      </c>
      <c r="AY3" s="342">
        <v>17</v>
      </c>
      <c r="AZ3" s="352">
        <v>17</v>
      </c>
      <c r="BA3" s="342">
        <v>18</v>
      </c>
      <c r="BB3" s="342">
        <v>19</v>
      </c>
      <c r="BC3" s="342">
        <v>20</v>
      </c>
      <c r="BD3" s="342"/>
    </row>
    <row r="4" spans="2:56" ht="39.75" customHeight="1">
      <c r="B4" s="341" t="s">
        <v>97</v>
      </c>
      <c r="C4" s="341" t="s">
        <v>97</v>
      </c>
      <c r="D4" s="342">
        <v>1</v>
      </c>
      <c r="E4" s="341" t="s">
        <v>98</v>
      </c>
      <c r="F4" s="343"/>
      <c r="G4" s="344"/>
      <c r="H4" s="344"/>
      <c r="I4" s="345"/>
      <c r="J4" s="333" t="s">
        <v>99</v>
      </c>
      <c r="L4" s="343" t="s">
        <v>100</v>
      </c>
      <c r="M4" s="330" t="s">
        <v>100</v>
      </c>
      <c r="N4" s="333" t="s">
        <v>100</v>
      </c>
      <c r="O4" s="346">
        <v>20</v>
      </c>
      <c r="P4" s="347"/>
      <c r="Q4" s="340">
        <f>O4*(1000/($O$4+$O$5+$O$6+$O$7+$O$8+$O$9+$O$10+$O$11+$O$12+$O$13+$O$14+$O$15+$O$16+$O$17+$O$18+$O$19+$O$20))</f>
        <v>32</v>
      </c>
      <c r="R4" s="340">
        <v>30</v>
      </c>
      <c r="S4" s="340">
        <f t="shared" ref="S4:S20" si="0">O4*(1000/($O$4+$O$5+$O$6+$O$7+$O$8+$O$9+$O$10+$O$11+$O$12+$O$13+$O$14+$O$15+$O$16+$O$17+$O$18+$O$19+$O$20+$O$22+$O$23))</f>
        <v>30.075187969924812</v>
      </c>
      <c r="T4" s="340">
        <v>28</v>
      </c>
      <c r="U4" s="340">
        <f t="shared" ref="U4:U16" si="1">O4*1000/($O$4+$O$5+$O$6+$O$7+$O$8+$O$9+$O$10+$O$11+$O$12+$O$13+$O$14+$O$15+$O$16+$O$18+$O$19+$O$20+$O$21+$O$24+$O$25)</f>
        <v>30.534351145038169</v>
      </c>
      <c r="V4" s="340">
        <v>32</v>
      </c>
      <c r="W4" s="340">
        <f t="shared" ref="W4:W16" si="2">O4*1000/($O$4+$O$5+$O$6+$O$7+$O$8+$O$9+$O$10+$O$11+$O$12+$O$13+$O$14+$O$15+$O$16+$O$18+$O$19+$O$20+$O$21+$O$24+$O$25+$O$22+$O$23)</f>
        <v>28.776978417266186</v>
      </c>
      <c r="X4" s="340">
        <v>28</v>
      </c>
      <c r="Y4" s="348" t="s">
        <v>101</v>
      </c>
      <c r="AA4" s="348" t="s">
        <v>101</v>
      </c>
      <c r="AB4" s="340">
        <f>SUMIF($Y$4:$Y$25,$AA4,$R$4:$R$25)</f>
        <v>334</v>
      </c>
      <c r="AC4" s="340">
        <f>SUMIF($Y$4:$Y$25,$AA4,$T$4:$T$25)</f>
        <v>344</v>
      </c>
      <c r="AD4" s="340">
        <f>SUMIF($Y$4:$Y$25,$AA4,$V$4:$V$25)</f>
        <v>320</v>
      </c>
      <c r="AE4" s="340">
        <f>SUMIF($Y$4:$Y$25,$AA4,$X$4:$X$25)</f>
        <v>326</v>
      </c>
      <c r="AG4" s="335" t="s">
        <v>79</v>
      </c>
      <c r="AH4" s="394" t="s">
        <v>98</v>
      </c>
      <c r="AI4" s="394" t="s">
        <v>102</v>
      </c>
      <c r="AJ4" s="394" t="s">
        <v>103</v>
      </c>
      <c r="AK4" s="394" t="s">
        <v>104</v>
      </c>
      <c r="AL4" s="394" t="s">
        <v>105</v>
      </c>
      <c r="AM4" s="394" t="s">
        <v>106</v>
      </c>
      <c r="AN4" s="394" t="s">
        <v>107</v>
      </c>
      <c r="AO4" s="394" t="s">
        <v>108</v>
      </c>
      <c r="AP4" s="394" t="s">
        <v>109</v>
      </c>
      <c r="AQ4" s="394" t="s">
        <v>110</v>
      </c>
      <c r="AR4" s="394" t="s">
        <v>111</v>
      </c>
      <c r="AS4" s="394" t="s">
        <v>112</v>
      </c>
      <c r="AT4" s="394" t="s">
        <v>113</v>
      </c>
      <c r="AU4" s="394" t="s">
        <v>114</v>
      </c>
      <c r="AV4" s="395" t="s">
        <v>115</v>
      </c>
      <c r="AW4" s="394" t="s">
        <v>116</v>
      </c>
      <c r="AX4" s="394" t="s">
        <v>117</v>
      </c>
      <c r="AY4" s="394"/>
      <c r="AZ4" s="394" t="s">
        <v>118</v>
      </c>
      <c r="BA4" s="394" t="s">
        <v>119</v>
      </c>
      <c r="BB4" s="394" t="s">
        <v>120</v>
      </c>
      <c r="BC4" s="394" t="s">
        <v>121</v>
      </c>
      <c r="BD4" s="353" t="s">
        <v>122</v>
      </c>
    </row>
    <row r="5" spans="2:56" ht="39.75" customHeight="1">
      <c r="B5" s="341" t="s">
        <v>97</v>
      </c>
      <c r="C5" s="341" t="s">
        <v>97</v>
      </c>
      <c r="D5" s="349" t="s">
        <v>96</v>
      </c>
      <c r="E5" s="341" t="s">
        <v>102</v>
      </c>
      <c r="F5" s="343"/>
      <c r="G5" s="344"/>
      <c r="H5" s="344"/>
      <c r="I5" s="345"/>
      <c r="J5" s="333" t="s">
        <v>123</v>
      </c>
      <c r="L5" s="343" t="s">
        <v>124</v>
      </c>
      <c r="M5" s="333" t="s">
        <v>125</v>
      </c>
      <c r="N5" s="333" t="s">
        <v>126</v>
      </c>
      <c r="O5" s="340">
        <v>100</v>
      </c>
      <c r="P5" s="347"/>
      <c r="Q5" s="340">
        <f t="shared" ref="Q5:Q16" si="3">O5*(1000/($O$4+$O$5+$O$6+$O$7+$O$8+$O$9+$O$10+$O$11+$O$12+$O$13+$O$14+$O$15+$O$16+$O$17+$O$18+$O$19+$O$20))</f>
        <v>160</v>
      </c>
      <c r="R5" s="340">
        <v>152</v>
      </c>
      <c r="S5" s="340">
        <f t="shared" si="0"/>
        <v>150.37593984962405</v>
      </c>
      <c r="T5" s="340">
        <v>144</v>
      </c>
      <c r="U5" s="340">
        <f t="shared" si="1"/>
        <v>152.67175572519085</v>
      </c>
      <c r="V5" s="340">
        <v>160</v>
      </c>
      <c r="W5" s="340">
        <f t="shared" si="2"/>
        <v>143.88489208633092</v>
      </c>
      <c r="X5" s="340">
        <v>150</v>
      </c>
      <c r="Y5" s="348" t="s">
        <v>127</v>
      </c>
      <c r="AA5" s="348" t="s">
        <v>127</v>
      </c>
      <c r="AB5" s="340">
        <f>SUMIF($Y$4:$Y$25,$AA5,$R$4:$R$25)</f>
        <v>308</v>
      </c>
      <c r="AC5" s="340">
        <f>SUMIF($Y$4:$Y$25,$AA5,$T$4:$T$25)</f>
        <v>290</v>
      </c>
      <c r="AD5" s="340">
        <f>SUMIF($Y$4:$Y$25,$AA5,$V$4:$V$25)</f>
        <v>320</v>
      </c>
      <c r="AE5" s="340">
        <f>SUMIF($Y$4:$Y$25,$AA5,$X$4:$X$25)</f>
        <v>302</v>
      </c>
      <c r="AG5" s="339" t="s">
        <v>2</v>
      </c>
      <c r="AH5" s="396">
        <v>30</v>
      </c>
      <c r="AI5" s="396">
        <v>152</v>
      </c>
      <c r="AJ5" s="396">
        <v>152</v>
      </c>
      <c r="AK5" s="396">
        <v>16</v>
      </c>
      <c r="AL5" s="396">
        <v>30</v>
      </c>
      <c r="AM5" s="396">
        <v>46</v>
      </c>
      <c r="AN5" s="396">
        <v>122</v>
      </c>
      <c r="AO5" s="396">
        <v>46</v>
      </c>
      <c r="AP5" s="396">
        <v>46</v>
      </c>
      <c r="AQ5" s="396">
        <v>30</v>
      </c>
      <c r="AR5" s="396">
        <v>46</v>
      </c>
      <c r="AS5" s="396">
        <v>68</v>
      </c>
      <c r="AT5" s="396">
        <v>16</v>
      </c>
      <c r="AU5" s="396"/>
      <c r="AV5" s="396">
        <v>46</v>
      </c>
      <c r="AW5" s="396">
        <v>64</v>
      </c>
      <c r="AX5" s="396">
        <v>30</v>
      </c>
      <c r="AY5" s="396"/>
      <c r="AZ5" s="396"/>
      <c r="BA5" s="396"/>
      <c r="BB5" s="396">
        <v>30</v>
      </c>
      <c r="BC5" s="396">
        <v>30</v>
      </c>
      <c r="BD5" s="358">
        <f>SUM(AH5:BC5)</f>
        <v>1000</v>
      </c>
    </row>
    <row r="6" spans="2:56" ht="39.75" customHeight="1">
      <c r="B6" s="341" t="s">
        <v>97</v>
      </c>
      <c r="C6" s="341" t="s">
        <v>97</v>
      </c>
      <c r="D6" s="349" t="s">
        <v>66</v>
      </c>
      <c r="E6" s="341" t="s">
        <v>103</v>
      </c>
      <c r="F6" s="343"/>
      <c r="G6" s="344"/>
      <c r="H6" s="344"/>
      <c r="I6" s="345"/>
      <c r="J6" s="333" t="s">
        <v>123</v>
      </c>
      <c r="L6" s="343" t="s">
        <v>124</v>
      </c>
      <c r="M6" s="333" t="s">
        <v>125</v>
      </c>
      <c r="N6" s="333" t="s">
        <v>126</v>
      </c>
      <c r="O6" s="346">
        <v>100</v>
      </c>
      <c r="P6" s="347"/>
      <c r="Q6" s="340">
        <f t="shared" si="3"/>
        <v>160</v>
      </c>
      <c r="R6" s="340">
        <v>152</v>
      </c>
      <c r="S6" s="340">
        <f t="shared" si="0"/>
        <v>150.37593984962405</v>
      </c>
      <c r="T6" s="340">
        <v>144</v>
      </c>
      <c r="U6" s="340">
        <f t="shared" si="1"/>
        <v>152.67175572519085</v>
      </c>
      <c r="V6" s="340">
        <v>160</v>
      </c>
      <c r="W6" s="340">
        <f t="shared" si="2"/>
        <v>143.88489208633092</v>
      </c>
      <c r="X6" s="340">
        <v>150</v>
      </c>
      <c r="Y6" s="348" t="s">
        <v>101</v>
      </c>
      <c r="AA6" s="348" t="s">
        <v>128</v>
      </c>
      <c r="AB6" s="340">
        <f>SUMIF($Y$4:$Y$25,$AA6,$R$4:$R$25)</f>
        <v>328</v>
      </c>
      <c r="AC6" s="340">
        <f>SUMIF($Y$4:$Y$25,$AA6,$T$4:$T$25)</f>
        <v>310</v>
      </c>
      <c r="AD6" s="340">
        <f>SUMIF($Y$4:$Y$25,$AA6,$V$4:$V$25)</f>
        <v>328</v>
      </c>
      <c r="AE6" s="340">
        <f>SUMIF($Y$4:$Y$25,$AA6,$X$4:$X$25)</f>
        <v>312</v>
      </c>
      <c r="AG6" s="339" t="s">
        <v>4</v>
      </c>
      <c r="AH6" s="396">
        <v>28</v>
      </c>
      <c r="AI6" s="396">
        <v>144</v>
      </c>
      <c r="AJ6" s="396">
        <v>144</v>
      </c>
      <c r="AK6" s="396">
        <v>14</v>
      </c>
      <c r="AL6" s="396">
        <v>28</v>
      </c>
      <c r="AM6" s="396">
        <v>44</v>
      </c>
      <c r="AN6" s="396">
        <v>116</v>
      </c>
      <c r="AO6" s="396">
        <v>44</v>
      </c>
      <c r="AP6" s="396">
        <v>44</v>
      </c>
      <c r="AQ6" s="396">
        <v>28</v>
      </c>
      <c r="AR6" s="396">
        <v>44</v>
      </c>
      <c r="AS6" s="396">
        <v>64</v>
      </c>
      <c r="AT6" s="396">
        <v>14</v>
      </c>
      <c r="AU6" s="396"/>
      <c r="AV6" s="396">
        <v>44</v>
      </c>
      <c r="AW6" s="396">
        <v>60</v>
      </c>
      <c r="AX6" s="396">
        <v>28</v>
      </c>
      <c r="AY6" s="396"/>
      <c r="AZ6" s="396">
        <v>28</v>
      </c>
      <c r="BA6" s="396">
        <v>28</v>
      </c>
      <c r="BB6" s="396">
        <v>28</v>
      </c>
      <c r="BC6" s="396">
        <v>28</v>
      </c>
      <c r="BD6" s="358">
        <f>SUM(AH6:BC6)</f>
        <v>1000</v>
      </c>
    </row>
    <row r="7" spans="2:56" ht="39.75" customHeight="1">
      <c r="B7" s="341" t="s">
        <v>97</v>
      </c>
      <c r="C7" s="341" t="s">
        <v>97</v>
      </c>
      <c r="D7" s="342">
        <v>3</v>
      </c>
      <c r="E7" s="341" t="s">
        <v>104</v>
      </c>
      <c r="F7" s="343"/>
      <c r="G7" s="344"/>
      <c r="H7" s="344"/>
      <c r="I7" s="345"/>
      <c r="J7" s="333" t="s">
        <v>129</v>
      </c>
      <c r="L7" s="343" t="s">
        <v>100</v>
      </c>
      <c r="M7" s="330" t="s">
        <v>100</v>
      </c>
      <c r="N7" s="333" t="s">
        <v>130</v>
      </c>
      <c r="O7" s="340">
        <v>10</v>
      </c>
      <c r="P7" s="347"/>
      <c r="Q7" s="340">
        <f t="shared" si="3"/>
        <v>16</v>
      </c>
      <c r="R7" s="340">
        <v>16</v>
      </c>
      <c r="S7" s="340">
        <f t="shared" si="0"/>
        <v>15.037593984962406</v>
      </c>
      <c r="T7" s="340">
        <v>14</v>
      </c>
      <c r="U7" s="340">
        <f t="shared" si="1"/>
        <v>15.267175572519085</v>
      </c>
      <c r="V7" s="340">
        <v>16</v>
      </c>
      <c r="W7" s="340">
        <f t="shared" si="2"/>
        <v>14.388489208633093</v>
      </c>
      <c r="X7" s="340">
        <v>16</v>
      </c>
      <c r="Y7" s="348" t="s">
        <v>127</v>
      </c>
      <c r="AA7" s="348" t="s">
        <v>131</v>
      </c>
      <c r="AB7" s="340">
        <f>SUMIF($Y$4:$Y$25,$AA7,$R$4:$R$25)</f>
        <v>30</v>
      </c>
      <c r="AC7" s="340">
        <f>SUMIF($Y$4:$Y$25,$AA7,$T$4:$T$25)</f>
        <v>56</v>
      </c>
      <c r="AD7" s="340">
        <f>SUMIF($Y$4:$Y$25,$AA7,$V$4:$V$25)</f>
        <v>32</v>
      </c>
      <c r="AE7" s="340">
        <f>SUMIF($Y$4:$Y$25,$AA7,$X$4:$X$25)</f>
        <v>60</v>
      </c>
      <c r="AG7" s="397" t="s">
        <v>9</v>
      </c>
      <c r="AH7" s="398">
        <v>28</v>
      </c>
      <c r="AI7" s="398">
        <v>150</v>
      </c>
      <c r="AJ7" s="398">
        <v>150</v>
      </c>
      <c r="AK7" s="398">
        <v>16</v>
      </c>
      <c r="AL7" s="398">
        <v>28</v>
      </c>
      <c r="AM7" s="398">
        <v>46</v>
      </c>
      <c r="AN7" s="398">
        <v>120</v>
      </c>
      <c r="AO7" s="398">
        <v>46</v>
      </c>
      <c r="AP7" s="398">
        <v>46</v>
      </c>
      <c r="AQ7" s="398">
        <v>30</v>
      </c>
      <c r="AR7" s="398">
        <v>46</v>
      </c>
      <c r="AS7" s="398">
        <v>68</v>
      </c>
      <c r="AT7" s="398">
        <v>16</v>
      </c>
      <c r="AU7" s="398">
        <v>16</v>
      </c>
      <c r="AV7" s="398">
        <v>44</v>
      </c>
      <c r="AW7" s="398">
        <v>60</v>
      </c>
      <c r="AX7" s="398">
        <v>30</v>
      </c>
      <c r="AY7" s="398"/>
      <c r="AZ7" s="398">
        <v>30</v>
      </c>
      <c r="BA7" s="398">
        <v>30</v>
      </c>
      <c r="BB7" s="398"/>
      <c r="BC7" s="398"/>
      <c r="BD7" s="399">
        <f>SUM(AH7:BC7)</f>
        <v>1000</v>
      </c>
    </row>
    <row r="8" spans="2:56" ht="30" customHeight="1">
      <c r="B8" s="341" t="s">
        <v>97</v>
      </c>
      <c r="C8" s="341" t="s">
        <v>97</v>
      </c>
      <c r="D8" s="342">
        <v>4</v>
      </c>
      <c r="E8" s="341" t="s">
        <v>105</v>
      </c>
      <c r="F8" s="341"/>
      <c r="G8" s="344"/>
      <c r="H8" s="344"/>
      <c r="I8" s="345"/>
      <c r="J8" s="333" t="s">
        <v>132</v>
      </c>
      <c r="L8" s="343" t="s">
        <v>133</v>
      </c>
      <c r="M8" s="330" t="s">
        <v>100</v>
      </c>
      <c r="N8" s="333" t="s">
        <v>100</v>
      </c>
      <c r="O8" s="340">
        <v>20</v>
      </c>
      <c r="P8" s="347"/>
      <c r="Q8" s="340">
        <f t="shared" si="3"/>
        <v>32</v>
      </c>
      <c r="R8" s="340">
        <v>30</v>
      </c>
      <c r="S8" s="340">
        <f t="shared" si="0"/>
        <v>30.075187969924812</v>
      </c>
      <c r="T8" s="340">
        <v>28</v>
      </c>
      <c r="U8" s="340">
        <f t="shared" si="1"/>
        <v>30.534351145038169</v>
      </c>
      <c r="V8" s="340">
        <v>32</v>
      </c>
      <c r="W8" s="340">
        <f t="shared" si="2"/>
        <v>28.776978417266186</v>
      </c>
      <c r="X8" s="340">
        <v>28</v>
      </c>
      <c r="Y8" s="348" t="s">
        <v>101</v>
      </c>
      <c r="AB8" s="330">
        <f>SUM(AB4:AB7)</f>
        <v>1000</v>
      </c>
      <c r="AC8" s="330">
        <f t="shared" ref="AC8:AE8" si="4">SUM(AC4:AC7)</f>
        <v>1000</v>
      </c>
      <c r="AD8" s="330">
        <f t="shared" si="4"/>
        <v>1000</v>
      </c>
      <c r="AE8" s="330">
        <f t="shared" si="4"/>
        <v>1000</v>
      </c>
      <c r="AG8" s="339" t="s">
        <v>7</v>
      </c>
      <c r="AH8" s="396">
        <v>32</v>
      </c>
      <c r="AI8" s="396">
        <v>160</v>
      </c>
      <c r="AJ8" s="396">
        <v>160</v>
      </c>
      <c r="AK8" s="396">
        <v>16</v>
      </c>
      <c r="AL8" s="396">
        <v>32</v>
      </c>
      <c r="AM8" s="396">
        <v>48</v>
      </c>
      <c r="AN8" s="396">
        <v>128</v>
      </c>
      <c r="AO8" s="396">
        <v>48</v>
      </c>
      <c r="AP8" s="396">
        <v>48</v>
      </c>
      <c r="AQ8" s="396">
        <v>32</v>
      </c>
      <c r="AR8" s="396">
        <v>48</v>
      </c>
      <c r="AS8" s="396">
        <v>72</v>
      </c>
      <c r="AT8" s="396">
        <v>16</v>
      </c>
      <c r="AU8" s="396">
        <v>16</v>
      </c>
      <c r="AV8" s="396">
        <v>48</v>
      </c>
      <c r="AW8" s="396">
        <v>64</v>
      </c>
      <c r="AX8" s="396">
        <v>32</v>
      </c>
      <c r="AY8" s="396"/>
      <c r="AZ8" s="396"/>
      <c r="BA8" s="396"/>
      <c r="BB8" s="396"/>
      <c r="BC8" s="396"/>
      <c r="BD8" s="358">
        <f>SUM(AH8:BC8)</f>
        <v>1000</v>
      </c>
    </row>
    <row r="9" spans="2:56" ht="67.5" customHeight="1">
      <c r="B9" s="341" t="s">
        <v>97</v>
      </c>
      <c r="C9" s="341" t="s">
        <v>97</v>
      </c>
      <c r="D9" s="342">
        <v>5</v>
      </c>
      <c r="E9" s="341" t="s">
        <v>106</v>
      </c>
      <c r="F9" s="341"/>
      <c r="G9" s="344"/>
      <c r="H9" s="344"/>
      <c r="I9" s="345"/>
      <c r="J9" s="333" t="s">
        <v>134</v>
      </c>
      <c r="L9" s="343" t="s">
        <v>135</v>
      </c>
      <c r="M9" s="330" t="s">
        <v>136</v>
      </c>
      <c r="N9" s="333" t="s">
        <v>137</v>
      </c>
      <c r="O9" s="340">
        <v>30</v>
      </c>
      <c r="P9" s="347"/>
      <c r="Q9" s="340">
        <f t="shared" si="3"/>
        <v>48</v>
      </c>
      <c r="R9" s="340">
        <v>46</v>
      </c>
      <c r="S9" s="340">
        <f t="shared" si="0"/>
        <v>45.112781954887218</v>
      </c>
      <c r="T9" s="340">
        <v>44</v>
      </c>
      <c r="U9" s="340">
        <f t="shared" si="1"/>
        <v>45.801526717557252</v>
      </c>
      <c r="V9" s="340">
        <v>48</v>
      </c>
      <c r="W9" s="340">
        <f t="shared" si="2"/>
        <v>43.165467625899282</v>
      </c>
      <c r="X9" s="340">
        <v>46</v>
      </c>
      <c r="Y9" s="348" t="s">
        <v>101</v>
      </c>
      <c r="AG9" s="357"/>
      <c r="AH9" s="400"/>
      <c r="AI9" s="400"/>
      <c r="AJ9" s="400"/>
      <c r="AK9" s="400"/>
      <c r="AL9" s="400"/>
      <c r="AM9" s="400"/>
      <c r="AN9" s="400"/>
      <c r="AO9" s="400"/>
      <c r="AP9" s="400"/>
      <c r="AQ9" s="400"/>
      <c r="AR9" s="400"/>
      <c r="AS9" s="400"/>
      <c r="AT9" s="400"/>
      <c r="AU9" s="400"/>
      <c r="AV9" s="400"/>
      <c r="AW9" s="400"/>
      <c r="AX9" s="400"/>
      <c r="AY9" s="400"/>
      <c r="BD9" s="354"/>
    </row>
    <row r="10" spans="2:56" ht="21.75" customHeight="1">
      <c r="B10" s="341" t="s">
        <v>97</v>
      </c>
      <c r="C10" s="341" t="s">
        <v>97</v>
      </c>
      <c r="D10" s="342">
        <v>6</v>
      </c>
      <c r="E10" s="341" t="s">
        <v>107</v>
      </c>
      <c r="F10" s="341"/>
      <c r="G10" s="344"/>
      <c r="H10" s="344"/>
      <c r="I10" s="345"/>
      <c r="J10" s="333" t="s">
        <v>138</v>
      </c>
      <c r="L10" s="343" t="s">
        <v>139</v>
      </c>
      <c r="M10" s="330" t="s">
        <v>140</v>
      </c>
      <c r="N10" s="333" t="s">
        <v>141</v>
      </c>
      <c r="O10" s="346">
        <v>80</v>
      </c>
      <c r="P10" s="347"/>
      <c r="Q10" s="340">
        <f t="shared" si="3"/>
        <v>128</v>
      </c>
      <c r="R10" s="340">
        <v>122</v>
      </c>
      <c r="S10" s="340">
        <f t="shared" si="0"/>
        <v>120.30075187969925</v>
      </c>
      <c r="T10" s="340">
        <v>116</v>
      </c>
      <c r="U10" s="340">
        <f t="shared" si="1"/>
        <v>122.13740458015268</v>
      </c>
      <c r="V10" s="340">
        <v>128</v>
      </c>
      <c r="W10" s="340">
        <f t="shared" si="2"/>
        <v>115.10791366906474</v>
      </c>
      <c r="X10" s="340">
        <v>120</v>
      </c>
      <c r="Y10" s="348" t="s">
        <v>128</v>
      </c>
      <c r="AG10" s="354"/>
      <c r="BD10" s="354"/>
    </row>
    <row r="11" spans="2:56" ht="21.75" customHeight="1">
      <c r="B11" s="341" t="s">
        <v>97</v>
      </c>
      <c r="C11" s="341" t="s">
        <v>97</v>
      </c>
      <c r="D11" s="342">
        <v>7</v>
      </c>
      <c r="E11" s="341" t="s">
        <v>108</v>
      </c>
      <c r="F11" s="341"/>
      <c r="G11" s="344"/>
      <c r="H11" s="344"/>
      <c r="I11" s="345"/>
      <c r="J11" s="333" t="s">
        <v>142</v>
      </c>
      <c r="L11" s="343" t="s">
        <v>143</v>
      </c>
      <c r="M11" s="330" t="s">
        <v>100</v>
      </c>
      <c r="N11" s="333" t="s">
        <v>100</v>
      </c>
      <c r="O11" s="340">
        <v>30</v>
      </c>
      <c r="P11" s="347"/>
      <c r="Q11" s="340">
        <f t="shared" si="3"/>
        <v>48</v>
      </c>
      <c r="R11" s="340">
        <v>46</v>
      </c>
      <c r="S11" s="340">
        <f t="shared" si="0"/>
        <v>45.112781954887218</v>
      </c>
      <c r="T11" s="340">
        <v>44</v>
      </c>
      <c r="U11" s="340">
        <f t="shared" si="1"/>
        <v>45.801526717557252</v>
      </c>
      <c r="V11" s="340">
        <v>48</v>
      </c>
      <c r="W11" s="340">
        <f t="shared" si="2"/>
        <v>43.165467625899282</v>
      </c>
      <c r="X11" s="340">
        <v>46</v>
      </c>
      <c r="Y11" s="348" t="s">
        <v>128</v>
      </c>
      <c r="AG11" s="354" t="s">
        <v>468</v>
      </c>
      <c r="AH11" s="400"/>
      <c r="AI11" s="400"/>
      <c r="AJ11" s="400"/>
      <c r="AK11" s="400"/>
      <c r="AL11" s="400"/>
      <c r="AM11" s="400"/>
      <c r="AN11" s="400"/>
      <c r="AO11" s="400"/>
      <c r="AP11" s="400"/>
      <c r="AQ11" s="400"/>
      <c r="AR11" s="400"/>
      <c r="AS11" s="400"/>
      <c r="AT11" s="400"/>
      <c r="AU11" s="400"/>
      <c r="AV11" s="400"/>
      <c r="AW11" s="400"/>
      <c r="AX11" s="400"/>
      <c r="AY11" s="400"/>
      <c r="AZ11" s="400"/>
      <c r="BA11" s="400"/>
      <c r="BB11" s="400"/>
      <c r="BC11" s="400"/>
      <c r="BD11" s="357"/>
    </row>
    <row r="12" spans="2:56" ht="45" customHeight="1">
      <c r="B12" s="341" t="s">
        <v>97</v>
      </c>
      <c r="C12" s="341" t="s">
        <v>97</v>
      </c>
      <c r="D12" s="342">
        <v>8</v>
      </c>
      <c r="E12" s="341" t="s">
        <v>109</v>
      </c>
      <c r="F12" s="341"/>
      <c r="G12" s="344"/>
      <c r="H12" s="344"/>
      <c r="I12" s="345"/>
      <c r="J12" s="333" t="s">
        <v>144</v>
      </c>
      <c r="L12" s="343" t="s">
        <v>100</v>
      </c>
      <c r="M12" s="330" t="s">
        <v>100</v>
      </c>
      <c r="N12" s="333" t="s">
        <v>100</v>
      </c>
      <c r="O12" s="340">
        <v>30</v>
      </c>
      <c r="P12" s="347"/>
      <c r="Q12" s="340">
        <f t="shared" si="3"/>
        <v>48</v>
      </c>
      <c r="R12" s="340">
        <v>46</v>
      </c>
      <c r="S12" s="340">
        <f t="shared" si="0"/>
        <v>45.112781954887218</v>
      </c>
      <c r="T12" s="340">
        <v>44</v>
      </c>
      <c r="U12" s="340">
        <f t="shared" si="1"/>
        <v>45.801526717557252</v>
      </c>
      <c r="V12" s="340">
        <v>48</v>
      </c>
      <c r="W12" s="340">
        <f t="shared" si="2"/>
        <v>43.165467625899282</v>
      </c>
      <c r="X12" s="340">
        <v>46</v>
      </c>
      <c r="Y12" s="348" t="s">
        <v>127</v>
      </c>
      <c r="AG12" s="512" t="s">
        <v>388</v>
      </c>
      <c r="AI12" s="514" t="s">
        <v>471</v>
      </c>
      <c r="AJ12" s="515"/>
      <c r="AY12" s="400"/>
      <c r="BD12" s="354"/>
    </row>
    <row r="13" spans="2:56" ht="30" customHeight="1">
      <c r="B13" s="341" t="s">
        <v>97</v>
      </c>
      <c r="C13" s="341" t="s">
        <v>97</v>
      </c>
      <c r="D13" s="342">
        <v>9</v>
      </c>
      <c r="E13" s="341" t="s">
        <v>110</v>
      </c>
      <c r="F13" s="341"/>
      <c r="G13" s="344"/>
      <c r="H13" s="344"/>
      <c r="I13" s="345"/>
      <c r="J13" s="333" t="s">
        <v>145</v>
      </c>
      <c r="L13" s="343" t="s">
        <v>100</v>
      </c>
      <c r="M13" s="330" t="s">
        <v>100</v>
      </c>
      <c r="N13" s="333" t="s">
        <v>100</v>
      </c>
      <c r="O13" s="340">
        <v>20</v>
      </c>
      <c r="P13" s="347"/>
      <c r="Q13" s="340">
        <f t="shared" si="3"/>
        <v>32</v>
      </c>
      <c r="R13" s="340">
        <v>30</v>
      </c>
      <c r="S13" s="340">
        <f t="shared" si="0"/>
        <v>30.075187969924812</v>
      </c>
      <c r="T13" s="340">
        <v>28</v>
      </c>
      <c r="U13" s="340">
        <f t="shared" si="1"/>
        <v>30.534351145038169</v>
      </c>
      <c r="V13" s="340">
        <v>32</v>
      </c>
      <c r="W13" s="340">
        <f t="shared" si="2"/>
        <v>28.776978417266186</v>
      </c>
      <c r="X13" s="340">
        <v>30</v>
      </c>
      <c r="Y13" s="348" t="s">
        <v>127</v>
      </c>
      <c r="AG13" s="513" t="s">
        <v>390</v>
      </c>
      <c r="AH13" s="400"/>
      <c r="AI13" s="514" t="s">
        <v>472</v>
      </c>
      <c r="AJ13" s="515"/>
      <c r="AK13" s="400"/>
      <c r="AL13" s="400"/>
      <c r="AM13" s="400"/>
      <c r="AN13" s="400"/>
      <c r="AO13" s="400"/>
      <c r="AP13" s="400"/>
      <c r="AQ13" s="400"/>
      <c r="AR13" s="400"/>
      <c r="AS13" s="400"/>
      <c r="AT13" s="400"/>
      <c r="AU13" s="400"/>
      <c r="AV13" s="400"/>
      <c r="AW13" s="400"/>
      <c r="AX13" s="400"/>
      <c r="AY13" s="400"/>
      <c r="AZ13" s="400"/>
      <c r="BA13" s="400"/>
      <c r="BB13" s="400"/>
      <c r="BC13" s="400"/>
      <c r="BD13" s="357"/>
    </row>
    <row r="14" spans="2:56" ht="21.75" customHeight="1">
      <c r="B14" s="341" t="s">
        <v>97</v>
      </c>
      <c r="C14" s="341" t="s">
        <v>97</v>
      </c>
      <c r="D14" s="342">
        <v>10</v>
      </c>
      <c r="E14" s="341" t="s">
        <v>111</v>
      </c>
      <c r="F14" s="341"/>
      <c r="G14" s="344"/>
      <c r="H14" s="344"/>
      <c r="I14" s="345"/>
      <c r="J14" s="333" t="s">
        <v>146</v>
      </c>
      <c r="L14" s="343" t="s">
        <v>100</v>
      </c>
      <c r="M14" s="330" t="s">
        <v>100</v>
      </c>
      <c r="N14" s="333" t="s">
        <v>100</v>
      </c>
      <c r="O14" s="340">
        <v>30</v>
      </c>
      <c r="P14" s="347"/>
      <c r="Q14" s="340">
        <f t="shared" si="3"/>
        <v>48</v>
      </c>
      <c r="R14" s="340">
        <v>46</v>
      </c>
      <c r="S14" s="340">
        <f t="shared" si="0"/>
        <v>45.112781954887218</v>
      </c>
      <c r="T14" s="340">
        <v>44</v>
      </c>
      <c r="U14" s="340">
        <f t="shared" si="1"/>
        <v>45.801526717557252</v>
      </c>
      <c r="V14" s="340">
        <v>48</v>
      </c>
      <c r="W14" s="340">
        <f t="shared" si="2"/>
        <v>43.165467625899282</v>
      </c>
      <c r="X14" s="340">
        <v>46</v>
      </c>
      <c r="Y14" s="348" t="s">
        <v>128</v>
      </c>
      <c r="AG14" s="357"/>
      <c r="AH14" s="401"/>
      <c r="AI14" s="401"/>
      <c r="AJ14" s="401"/>
      <c r="AK14" s="401"/>
      <c r="AL14" s="401"/>
      <c r="AM14" s="401"/>
      <c r="AN14" s="401"/>
      <c r="AO14" s="401"/>
      <c r="AP14" s="401"/>
      <c r="AQ14" s="401"/>
      <c r="AR14" s="401"/>
      <c r="AS14" s="401"/>
      <c r="AT14" s="401"/>
      <c r="AU14" s="401"/>
      <c r="AV14" s="401"/>
      <c r="AW14" s="401"/>
      <c r="AX14" s="401"/>
      <c r="AY14" s="401"/>
      <c r="AZ14" s="401"/>
      <c r="BA14" s="401"/>
      <c r="BB14" s="401"/>
      <c r="BC14" s="401"/>
      <c r="BD14" s="354"/>
    </row>
    <row r="15" spans="2:56" ht="21.75" customHeight="1">
      <c r="B15" s="341" t="s">
        <v>97</v>
      </c>
      <c r="C15" s="341" t="s">
        <v>97</v>
      </c>
      <c r="D15" s="342">
        <v>11</v>
      </c>
      <c r="E15" s="341" t="s">
        <v>112</v>
      </c>
      <c r="F15" s="341"/>
      <c r="G15" s="344"/>
      <c r="H15" s="344"/>
      <c r="I15" s="345"/>
      <c r="J15" s="333" t="s">
        <v>147</v>
      </c>
      <c r="L15" s="343" t="s">
        <v>100</v>
      </c>
      <c r="M15" s="330" t="s">
        <v>100</v>
      </c>
      <c r="N15" s="333" t="s">
        <v>100</v>
      </c>
      <c r="O15" s="346">
        <v>45</v>
      </c>
      <c r="P15" s="347"/>
      <c r="Q15" s="340">
        <f t="shared" si="3"/>
        <v>72</v>
      </c>
      <c r="R15" s="340">
        <v>68</v>
      </c>
      <c r="S15" s="340">
        <f t="shared" si="0"/>
        <v>67.669172932330824</v>
      </c>
      <c r="T15" s="340">
        <v>64</v>
      </c>
      <c r="U15" s="340">
        <f t="shared" si="1"/>
        <v>68.702290076335885</v>
      </c>
      <c r="V15" s="340">
        <v>72</v>
      </c>
      <c r="W15" s="340">
        <f t="shared" si="2"/>
        <v>64.748201438848923</v>
      </c>
      <c r="X15" s="340">
        <v>68</v>
      </c>
      <c r="Y15" s="348" t="s">
        <v>128</v>
      </c>
      <c r="AG15" s="354" t="s">
        <v>469</v>
      </c>
      <c r="AH15" s="400"/>
      <c r="AI15" s="400"/>
      <c r="AJ15" s="400"/>
      <c r="AK15" s="400"/>
      <c r="AL15" s="400"/>
      <c r="AM15" s="400"/>
      <c r="AN15" s="400"/>
      <c r="AO15" s="400"/>
      <c r="AP15" s="400"/>
      <c r="AQ15" s="400"/>
      <c r="AR15" s="400"/>
      <c r="AS15" s="400"/>
      <c r="AT15" s="400"/>
      <c r="AU15" s="400"/>
      <c r="AV15" s="400"/>
      <c r="AW15" s="400"/>
      <c r="AX15" s="400"/>
      <c r="AY15" s="400"/>
      <c r="AZ15" s="400"/>
      <c r="BA15" s="400"/>
      <c r="BB15" s="400"/>
      <c r="BC15" s="400"/>
      <c r="BD15" s="357"/>
    </row>
    <row r="16" spans="2:56" ht="21.75" customHeight="1">
      <c r="B16" s="341" t="s">
        <v>97</v>
      </c>
      <c r="C16" s="341" t="s">
        <v>97</v>
      </c>
      <c r="D16" s="342">
        <v>12</v>
      </c>
      <c r="E16" s="341" t="s">
        <v>113</v>
      </c>
      <c r="F16" s="341"/>
      <c r="G16" s="344"/>
      <c r="H16" s="344"/>
      <c r="I16" s="345"/>
      <c r="J16" s="333" t="s">
        <v>148</v>
      </c>
      <c r="L16" s="343" t="s">
        <v>100</v>
      </c>
      <c r="M16" s="330" t="s">
        <v>100</v>
      </c>
      <c r="N16" s="333" t="s">
        <v>100</v>
      </c>
      <c r="O16" s="340">
        <v>10</v>
      </c>
      <c r="P16" s="347"/>
      <c r="Q16" s="340">
        <f t="shared" si="3"/>
        <v>16</v>
      </c>
      <c r="R16" s="340">
        <v>16</v>
      </c>
      <c r="S16" s="340">
        <f t="shared" si="0"/>
        <v>15.037593984962406</v>
      </c>
      <c r="T16" s="340">
        <v>14</v>
      </c>
      <c r="U16" s="340">
        <f t="shared" si="1"/>
        <v>15.267175572519085</v>
      </c>
      <c r="V16" s="340">
        <v>16</v>
      </c>
      <c r="W16" s="340">
        <f t="shared" si="2"/>
        <v>14.388489208633093</v>
      </c>
      <c r="X16" s="340">
        <v>16</v>
      </c>
      <c r="Y16" s="348" t="s">
        <v>128</v>
      </c>
      <c r="AG16" s="512" t="s">
        <v>388</v>
      </c>
      <c r="AH16" s="401"/>
      <c r="AI16" s="516" t="s">
        <v>473</v>
      </c>
      <c r="AJ16" s="517"/>
      <c r="AK16" s="401"/>
      <c r="AL16" s="401"/>
      <c r="AM16" s="401"/>
      <c r="AN16" s="401"/>
      <c r="AO16" s="401"/>
      <c r="AP16" s="401"/>
      <c r="AQ16" s="401"/>
      <c r="AR16" s="401"/>
      <c r="AS16" s="401"/>
      <c r="AT16" s="401"/>
      <c r="AU16" s="401"/>
      <c r="AV16" s="401"/>
      <c r="AW16" s="401"/>
      <c r="AX16" s="401"/>
      <c r="AY16" s="401"/>
      <c r="AZ16" s="401"/>
      <c r="BA16" s="401"/>
      <c r="BB16" s="401"/>
      <c r="BC16" s="401"/>
      <c r="BD16" s="354"/>
    </row>
    <row r="17" spans="2:56" ht="21.75" customHeight="1">
      <c r="B17" s="341" t="s">
        <v>97</v>
      </c>
      <c r="C17" s="341"/>
      <c r="D17" s="342">
        <v>13</v>
      </c>
      <c r="E17" s="341" t="s">
        <v>114</v>
      </c>
      <c r="F17" s="341"/>
      <c r="G17" s="344"/>
      <c r="H17" s="344"/>
      <c r="I17" s="345"/>
      <c r="J17" s="333" t="s">
        <v>149</v>
      </c>
      <c r="L17" s="343" t="s">
        <v>100</v>
      </c>
      <c r="M17" s="330" t="s">
        <v>100</v>
      </c>
      <c r="N17" s="333" t="s">
        <v>100</v>
      </c>
      <c r="O17" s="340">
        <v>10</v>
      </c>
      <c r="P17" s="347"/>
      <c r="Q17" s="340">
        <f>O17*(1000/($O$4+$O$5+$O$6+$O$7+$O$8+$O$9+$O$10+$O$11+$O$12+$O$13+$O$14+$O$15+$O$16+$O$17+$O$18+$O$19+$O$20+$O$21))</f>
        <v>16</v>
      </c>
      <c r="R17" s="340"/>
      <c r="S17" s="340">
        <f t="shared" si="0"/>
        <v>15.037593984962406</v>
      </c>
      <c r="T17" s="340"/>
      <c r="U17" s="340"/>
      <c r="V17" s="340">
        <v>16</v>
      </c>
      <c r="W17" s="340"/>
      <c r="X17" s="340">
        <v>16</v>
      </c>
      <c r="Y17" s="348" t="s">
        <v>128</v>
      </c>
      <c r="AG17" s="513" t="s">
        <v>390</v>
      </c>
      <c r="AI17" s="514" t="s">
        <v>474</v>
      </c>
    </row>
    <row r="18" spans="2:56" ht="21.75" customHeight="1">
      <c r="B18" s="341" t="s">
        <v>97</v>
      </c>
      <c r="C18" s="341" t="s">
        <v>97</v>
      </c>
      <c r="D18" s="342">
        <v>14</v>
      </c>
      <c r="E18" s="350" t="s">
        <v>115</v>
      </c>
      <c r="F18" s="341"/>
      <c r="G18" s="344"/>
      <c r="H18" s="344"/>
      <c r="I18" s="345"/>
      <c r="J18" s="333" t="s">
        <v>150</v>
      </c>
      <c r="L18" s="343" t="s">
        <v>151</v>
      </c>
      <c r="M18" s="330" t="s">
        <v>152</v>
      </c>
      <c r="N18" s="333" t="s">
        <v>100</v>
      </c>
      <c r="O18" s="340">
        <v>30</v>
      </c>
      <c r="P18" s="347"/>
      <c r="Q18" s="340">
        <f t="shared" ref="Q18:Q19" si="5">O18*(1000/($O$4+$O$5+$O$6+$O$7+$O$8+$O$9+$O$10+$O$11+$O$12+$O$13+$O$14+$O$15+$O$16+$O$17+$O$18+$O$19+$O$20))</f>
        <v>48</v>
      </c>
      <c r="R18" s="340">
        <v>46</v>
      </c>
      <c r="S18" s="340">
        <f t="shared" si="0"/>
        <v>45.112781954887218</v>
      </c>
      <c r="T18" s="340">
        <v>44</v>
      </c>
      <c r="U18" s="340">
        <f>O18*1000/($O$4+$O$5+$O$6+$O$7+$O$8+$O$9+$O$10+$O$11+$O$12+$O$13+$O$14+$O$15+$O$16+$O$18+$O$19+$O$20+$O$21+$O$24+$O$25)</f>
        <v>45.801526717557252</v>
      </c>
      <c r="V18" s="340">
        <v>48</v>
      </c>
      <c r="W18" s="340">
        <f>O18*1000/($O$4+$O$5+$O$6+$O$7+$O$8+$O$9+$O$10+$O$11+$O$12+$O$13+$O$14+$O$15+$O$16+$O$18+$O$19+$O$20+$O$21+$O$24+$O$25+$O$22+$O$23)</f>
        <v>43.165467625899282</v>
      </c>
      <c r="X18" s="340">
        <v>44</v>
      </c>
      <c r="Y18" s="348" t="s">
        <v>101</v>
      </c>
      <c r="AG18" s="357"/>
      <c r="AH18" s="401"/>
      <c r="AI18" s="401"/>
      <c r="AJ18" s="401"/>
      <c r="AK18" s="401"/>
      <c r="AL18" s="401"/>
      <c r="AM18" s="401"/>
      <c r="AN18" s="401"/>
      <c r="AO18" s="401"/>
      <c r="AP18" s="401"/>
      <c r="AQ18" s="401"/>
      <c r="AR18" s="401"/>
      <c r="AS18" s="401"/>
      <c r="AT18" s="401"/>
      <c r="AU18" s="401"/>
      <c r="AV18" s="401"/>
      <c r="AW18" s="401"/>
      <c r="AX18" s="401"/>
      <c r="AY18" s="401"/>
      <c r="AZ18" s="401"/>
      <c r="BA18" s="401"/>
      <c r="BB18" s="401"/>
      <c r="BC18" s="401"/>
      <c r="BD18" s="354"/>
    </row>
    <row r="19" spans="2:56" ht="21.75" customHeight="1">
      <c r="B19" s="341" t="s">
        <v>97</v>
      </c>
      <c r="C19" s="341" t="s">
        <v>97</v>
      </c>
      <c r="D19" s="342">
        <v>15</v>
      </c>
      <c r="E19" s="341" t="s">
        <v>116</v>
      </c>
      <c r="F19" s="341"/>
      <c r="G19" s="344"/>
      <c r="H19" s="344"/>
      <c r="I19" s="345"/>
      <c r="J19" s="333" t="s">
        <v>153</v>
      </c>
      <c r="L19" s="343" t="s">
        <v>100</v>
      </c>
      <c r="M19" s="330" t="s">
        <v>100</v>
      </c>
      <c r="N19" s="333" t="s">
        <v>100</v>
      </c>
      <c r="O19" s="340">
        <v>40</v>
      </c>
      <c r="P19" s="347"/>
      <c r="Q19" s="340">
        <f t="shared" si="5"/>
        <v>64</v>
      </c>
      <c r="R19" s="340">
        <v>64</v>
      </c>
      <c r="S19" s="340">
        <f t="shared" si="0"/>
        <v>60.150375939849624</v>
      </c>
      <c r="T19" s="340">
        <v>60</v>
      </c>
      <c r="U19" s="340">
        <f>O19*1000/($O$4+$O$5+$O$6+$O$7+$O$8+$O$9+$O$10+$O$11+$O$12+$O$13+$O$14+$O$15+$O$16+$O$18+$O$19+$O$20+$O$21+$O$24+$O$25)</f>
        <v>61.068702290076338</v>
      </c>
      <c r="V19" s="340">
        <v>64</v>
      </c>
      <c r="W19" s="340">
        <f>O19*1000/($O$4+$O$5+$O$6+$O$7+$O$8+$O$9+$O$10+$O$11+$O$12+$O$13+$O$14+$O$15+$O$16+$O$18+$O$19+$O$20+$O$21+$O$24+$O$25+$O$22+$O$23)</f>
        <v>57.553956834532372</v>
      </c>
      <c r="X19" s="340">
        <v>60</v>
      </c>
      <c r="Y19" s="348" t="s">
        <v>127</v>
      </c>
      <c r="AG19" s="512" t="s">
        <v>475</v>
      </c>
      <c r="AI19" s="519" t="s">
        <v>437</v>
      </c>
      <c r="AJ19" s="520"/>
    </row>
    <row r="20" spans="2:56" ht="21.75" customHeight="1">
      <c r="B20" s="341" t="s">
        <v>97</v>
      </c>
      <c r="C20" s="341" t="s">
        <v>97</v>
      </c>
      <c r="D20" s="342">
        <v>16</v>
      </c>
      <c r="E20" s="341" t="s">
        <v>117</v>
      </c>
      <c r="F20" s="341"/>
      <c r="G20" s="344"/>
      <c r="H20" s="344"/>
      <c r="I20" s="345"/>
      <c r="J20" s="333" t="s">
        <v>154</v>
      </c>
      <c r="L20" s="343" t="s">
        <v>100</v>
      </c>
      <c r="M20" s="330" t="s">
        <v>100</v>
      </c>
      <c r="N20" s="333" t="s">
        <v>100</v>
      </c>
      <c r="O20" s="340">
        <v>20</v>
      </c>
      <c r="P20" s="347"/>
      <c r="Q20" s="340">
        <f>O20*(1000/($O$4+$O$5+$O$6+$O$7+$O$8+$O$9+$O$10+$O$11+$O$12+$O$13+$O$14+$O$15+$O$16+$O$17+$O$18+$O$19+$O$20))</f>
        <v>32</v>
      </c>
      <c r="R20" s="340">
        <v>30</v>
      </c>
      <c r="S20" s="340">
        <f t="shared" si="0"/>
        <v>30.075187969924812</v>
      </c>
      <c r="T20" s="340">
        <v>28</v>
      </c>
      <c r="U20" s="340">
        <f>O20*1000/($O$4+$O$5+$O$6+$O$7+$O$8+$O$9+$O$10+$O$11+$O$12+$O$13+$O$14+$O$15+$O$16+$O$18+$O$19+$O$20+$O$21+$O$24+$O$25)</f>
        <v>30.534351145038169</v>
      </c>
      <c r="V20" s="340">
        <v>32</v>
      </c>
      <c r="W20" s="340">
        <f>O20*1000/($O$4+$O$5+$O$6+$O$7+$O$8+$O$9+$O$10+$O$11+$O$12+$O$13+$O$14+$O$15+$O$16+$O$18+$O$19+$O$20+$O$21+$O$24+$O$25+$O$22+$O$23)</f>
        <v>28.776978417266186</v>
      </c>
      <c r="X20" s="340">
        <v>30</v>
      </c>
      <c r="Y20" s="348" t="s">
        <v>131</v>
      </c>
      <c r="AI20" s="518"/>
      <c r="AJ20" s="518"/>
      <c r="AK20" s="518"/>
      <c r="AL20" s="401"/>
      <c r="AM20" s="401"/>
      <c r="AN20" s="401"/>
      <c r="AO20" s="401"/>
      <c r="AP20" s="401"/>
      <c r="AQ20" s="401"/>
      <c r="AR20" s="401"/>
      <c r="AS20" s="401"/>
      <c r="AT20" s="401"/>
      <c r="AU20" s="401"/>
      <c r="AV20" s="401"/>
      <c r="AW20" s="401"/>
      <c r="AX20" s="401"/>
      <c r="AY20" s="401"/>
      <c r="AZ20" s="401"/>
      <c r="BA20" s="401"/>
      <c r="BB20" s="401"/>
      <c r="BC20" s="401"/>
      <c r="BD20" s="354"/>
    </row>
    <row r="21" spans="2:56" ht="21.75" customHeight="1">
      <c r="B21" s="341" t="s">
        <v>97</v>
      </c>
      <c r="C21" s="341" t="s">
        <v>97</v>
      </c>
      <c r="D21" s="342">
        <v>17</v>
      </c>
      <c r="E21" s="341"/>
      <c r="F21" s="341"/>
      <c r="G21" s="344"/>
      <c r="H21" s="344"/>
      <c r="I21" s="345"/>
      <c r="J21" s="333" t="s">
        <v>155</v>
      </c>
      <c r="L21" s="343" t="s">
        <v>156</v>
      </c>
      <c r="M21" s="343" t="s">
        <v>156</v>
      </c>
      <c r="N21" s="333" t="s">
        <v>156</v>
      </c>
      <c r="O21" s="340"/>
      <c r="P21" s="347" t="s">
        <v>157</v>
      </c>
      <c r="Q21" s="340"/>
      <c r="R21" s="340"/>
      <c r="S21" s="340"/>
      <c r="T21" s="340"/>
      <c r="U21" s="340"/>
      <c r="V21" s="340"/>
      <c r="W21" s="340"/>
      <c r="X21" s="340"/>
      <c r="Y21" s="340"/>
      <c r="AG21" s="512" t="s">
        <v>476</v>
      </c>
      <c r="AI21" s="521" t="s">
        <v>441</v>
      </c>
      <c r="AJ21" s="522"/>
    </row>
    <row r="22" spans="2:56" ht="21.75" customHeight="1">
      <c r="B22" s="341"/>
      <c r="C22" s="351" t="s">
        <v>97</v>
      </c>
      <c r="D22" s="352">
        <v>17</v>
      </c>
      <c r="E22" s="341" t="s">
        <v>118</v>
      </c>
      <c r="F22" s="341"/>
      <c r="G22" s="344"/>
      <c r="H22" s="344"/>
      <c r="I22" s="345"/>
      <c r="L22" s="343" t="s">
        <v>158</v>
      </c>
      <c r="M22" s="330" t="s">
        <v>100</v>
      </c>
      <c r="N22" s="333" t="s">
        <v>137</v>
      </c>
      <c r="O22" s="340">
        <v>20</v>
      </c>
      <c r="P22" s="347"/>
      <c r="Q22" s="340"/>
      <c r="R22" s="340"/>
      <c r="S22" s="340">
        <f>O22*(1000/($O$4+$O$5+$O$6+$O$7+$O$8+$O$9+$O$10+$O$11+$O$12+$O$13+$O$14+$O$15+$O$16+$O$17+$O$18+$O$19+$O$20+$O$22+$O$23))</f>
        <v>30.075187969924812</v>
      </c>
      <c r="T22" s="340">
        <v>28</v>
      </c>
      <c r="U22" s="340"/>
      <c r="V22" s="340"/>
      <c r="W22" s="340">
        <f>O22*1000/($O$4+$O$5+$O$6+$O$7+$O$8+$O$9+$O$10+$O$11+$O$12+$O$13+$O$14+$O$15+$O$16+$O$18+$O$19+$O$20+$O$21+$O$24+$O$25+$O$22+$O$23)</f>
        <v>28.776978417266186</v>
      </c>
      <c r="X22" s="340">
        <v>30</v>
      </c>
      <c r="Y22" s="348" t="s">
        <v>131</v>
      </c>
      <c r="AG22" s="357"/>
      <c r="AH22" s="401"/>
      <c r="AI22" s="401"/>
      <c r="AJ22" s="401"/>
      <c r="AK22" s="401"/>
      <c r="AL22" s="401"/>
      <c r="AM22" s="401"/>
      <c r="AN22" s="401"/>
      <c r="AO22" s="401"/>
      <c r="AP22" s="401"/>
      <c r="AQ22" s="401"/>
      <c r="AR22" s="401"/>
      <c r="AS22" s="401"/>
      <c r="AT22" s="401"/>
      <c r="AU22" s="401"/>
      <c r="AV22" s="401"/>
      <c r="AW22" s="401"/>
      <c r="AX22" s="401"/>
      <c r="AY22" s="401"/>
      <c r="AZ22" s="401"/>
      <c r="BA22" s="401"/>
      <c r="BB22" s="401"/>
      <c r="BC22" s="401"/>
      <c r="BD22" s="354"/>
    </row>
    <row r="23" spans="2:56" ht="21.75" customHeight="1">
      <c r="B23" s="341"/>
      <c r="C23" s="341" t="s">
        <v>97</v>
      </c>
      <c r="D23" s="342">
        <v>18</v>
      </c>
      <c r="E23" s="341" t="s">
        <v>119</v>
      </c>
      <c r="F23" s="341"/>
      <c r="G23" s="344"/>
      <c r="H23" s="344"/>
      <c r="I23" s="345"/>
      <c r="L23" s="343" t="s">
        <v>159</v>
      </c>
      <c r="M23" s="330" t="s">
        <v>100</v>
      </c>
      <c r="N23" s="333" t="s">
        <v>160</v>
      </c>
      <c r="O23" s="340">
        <v>20</v>
      </c>
      <c r="P23" s="347"/>
      <c r="Q23" s="340"/>
      <c r="R23" s="340"/>
      <c r="S23" s="340">
        <f>O23*(1000/($O$4+$O$5+$O$6+$O$7+$O$8+$O$9+$O$10+$O$11+$O$12+$O$13+$O$14+$O$15+$O$16+$O$17+$O$18+$O$19+$O$20+$O$22+$O$23))</f>
        <v>30.075187969924812</v>
      </c>
      <c r="T23" s="340">
        <v>28</v>
      </c>
      <c r="U23" s="340"/>
      <c r="V23" s="340"/>
      <c r="W23" s="340">
        <f>O23*1000/($O$4+$O$5+$O$6+$O$7+$O$8+$O$9+$O$10+$O$11+$O$12+$O$13+$O$14+$O$15+$O$16+$O$18+$O$19+$O$20+$O$21+$O$24+$O$25+$O$22+$O$23)</f>
        <v>28.776978417266186</v>
      </c>
      <c r="X23" s="340">
        <v>30</v>
      </c>
      <c r="Y23" s="348" t="s">
        <v>101</v>
      </c>
      <c r="AG23" s="512" t="s">
        <v>477</v>
      </c>
      <c r="AI23" s="523" t="s">
        <v>421</v>
      </c>
      <c r="AJ23" s="524"/>
    </row>
    <row r="24" spans="2:56" ht="21.75" customHeight="1">
      <c r="B24" s="341"/>
      <c r="C24" s="341" t="s">
        <v>97</v>
      </c>
      <c r="D24" s="342">
        <v>19</v>
      </c>
      <c r="E24" s="341" t="s">
        <v>120</v>
      </c>
      <c r="F24" s="341"/>
      <c r="I24" s="345"/>
      <c r="L24" s="343" t="s">
        <v>159</v>
      </c>
      <c r="N24" s="333" t="s">
        <v>100</v>
      </c>
      <c r="O24" s="340">
        <v>20</v>
      </c>
      <c r="P24" s="347"/>
      <c r="Q24" s="340"/>
      <c r="R24" s="340">
        <v>30</v>
      </c>
      <c r="S24" s="340"/>
      <c r="T24" s="340">
        <v>28</v>
      </c>
      <c r="U24" s="340">
        <f>O24*1000/($O$4+$O$5+$O$6+$O$7+$O$8+$O$9+$O$10+$O$11+$O$12+$O$13+$O$14+$O$15+$O$16+$O$18+$O$19+$O$20+$O$21+$O$24+$O$25)</f>
        <v>30.534351145038169</v>
      </c>
      <c r="V24" s="340"/>
      <c r="W24" s="340">
        <f>O24*1000/($O$4+$O$5+$O$6+$O$7+$O$8+$O$9+$O$10+$O$11+$O$12+$O$13+$O$14+$O$15+$O$16+$O$18+$O$19+$O$20+$O$21+$O$24+$O$25+$O$22+$O$23)</f>
        <v>28.776978417266186</v>
      </c>
      <c r="X24" s="340"/>
      <c r="Y24" s="348" t="s">
        <v>128</v>
      </c>
      <c r="AG24" s="357"/>
      <c r="AH24" s="402"/>
      <c r="AI24" s="402"/>
      <c r="AJ24" s="402"/>
      <c r="AK24" s="402"/>
      <c r="AL24" s="402"/>
      <c r="AM24" s="402"/>
      <c r="AN24" s="402"/>
      <c r="AO24" s="402"/>
      <c r="AP24" s="402"/>
      <c r="AQ24" s="402"/>
      <c r="AR24" s="402"/>
      <c r="AS24" s="402"/>
      <c r="AT24" s="402"/>
      <c r="AU24" s="402"/>
      <c r="AV24" s="402"/>
      <c r="AW24" s="402"/>
      <c r="AX24" s="402"/>
      <c r="AY24" s="401"/>
      <c r="AZ24" s="402"/>
      <c r="BA24" s="402"/>
      <c r="BB24" s="402"/>
      <c r="BC24" s="402"/>
      <c r="BD24" s="402"/>
    </row>
    <row r="25" spans="2:56" ht="21.75" customHeight="1">
      <c r="B25" s="341"/>
      <c r="C25" s="341" t="s">
        <v>97</v>
      </c>
      <c r="D25" s="342">
        <v>20</v>
      </c>
      <c r="E25" s="341" t="s">
        <v>121</v>
      </c>
      <c r="F25" s="341"/>
      <c r="I25" s="345"/>
      <c r="L25" s="343" t="s">
        <v>159</v>
      </c>
      <c r="N25" s="333" t="s">
        <v>137</v>
      </c>
      <c r="O25" s="340">
        <v>20</v>
      </c>
      <c r="P25" s="347"/>
      <c r="Q25" s="340"/>
      <c r="R25" s="340">
        <v>30</v>
      </c>
      <c r="S25" s="340"/>
      <c r="T25" s="340">
        <v>28</v>
      </c>
      <c r="U25" s="340">
        <f>O25*1000/($O$4+$O$5+$O$6+$O$7+$O$8+$O$9+$O$10+$O$11+$O$12+$O$13+$O$14+$O$15+$O$16+$O$18+$O$19+$O$20+$O$21+$O$24+$O$25)</f>
        <v>30.534351145038169</v>
      </c>
      <c r="V25" s="340"/>
      <c r="W25" s="340">
        <f>O25*1000/($O$4+$O$5+$O$6+$O$7+$O$8+$O$9+$O$10+$O$11+$O$12+$O$13+$O$14+$O$15+$O$16+$O$18+$O$19+$O$20+$O$21+$O$24+$O$25+$O$22+$O$23)</f>
        <v>28.776978417266186</v>
      </c>
      <c r="X25" s="340"/>
      <c r="Y25" s="348" t="s">
        <v>101</v>
      </c>
      <c r="AG25" s="512" t="s">
        <v>478</v>
      </c>
      <c r="AI25" s="516" t="s">
        <v>438</v>
      </c>
      <c r="AJ25" s="517"/>
    </row>
    <row r="26" spans="2:56" ht="21">
      <c r="D26" s="342"/>
      <c r="E26" s="353" t="s">
        <v>122</v>
      </c>
      <c r="F26" s="353"/>
      <c r="G26" s="354"/>
      <c r="H26" s="354"/>
      <c r="I26" s="355"/>
      <c r="J26" s="354"/>
      <c r="K26" s="354"/>
      <c r="L26" s="356"/>
      <c r="M26" s="354"/>
      <c r="N26" s="357"/>
      <c r="O26" s="358"/>
      <c r="P26" s="359"/>
      <c r="Q26" s="358">
        <f t="shared" ref="Q26" si="6">SUM(Q4:Q25)</f>
        <v>1000</v>
      </c>
      <c r="R26" s="358">
        <f>SUM(R4:R25)</f>
        <v>1000</v>
      </c>
      <c r="S26" s="358">
        <f t="shared" ref="S26:X26" si="7">SUM(S4:S25)</f>
        <v>1000</v>
      </c>
      <c r="T26" s="358">
        <f t="shared" si="7"/>
        <v>1000</v>
      </c>
      <c r="U26" s="358">
        <f t="shared" si="7"/>
        <v>1000.0000000000001</v>
      </c>
      <c r="V26" s="358">
        <f t="shared" si="7"/>
        <v>1000</v>
      </c>
      <c r="W26" s="358">
        <f t="shared" si="7"/>
        <v>999.99999999999977</v>
      </c>
      <c r="X26" s="358">
        <f t="shared" si="7"/>
        <v>1000</v>
      </c>
      <c r="Y26" s="348"/>
    </row>
    <row r="27" spans="2:56" ht="15" customHeight="1">
      <c r="F27" s="360"/>
      <c r="AG27" s="512" t="s">
        <v>479</v>
      </c>
      <c r="AI27" s="523" t="s">
        <v>423</v>
      </c>
      <c r="AJ27" s="524"/>
    </row>
    <row r="28" spans="2:56">
      <c r="F28" s="360"/>
    </row>
    <row r="29" spans="2:56">
      <c r="F29" s="360"/>
    </row>
    <row r="30" spans="2:56">
      <c r="F30" s="360"/>
    </row>
    <row r="31" spans="2:56">
      <c r="F31" s="333"/>
    </row>
    <row r="32" spans="2:56">
      <c r="F32" s="333"/>
    </row>
    <row r="33" spans="6:6">
      <c r="F33" s="333"/>
    </row>
    <row r="34" spans="6:6">
      <c r="F34" s="333"/>
    </row>
    <row r="35" spans="6:6">
      <c r="F35" s="333"/>
    </row>
    <row r="36" spans="6:6">
      <c r="F36" s="333"/>
    </row>
    <row r="37" spans="6:6">
      <c r="F37" s="333"/>
    </row>
    <row r="38" spans="6:6">
      <c r="F38" s="333"/>
    </row>
    <row r="39" spans="6:6">
      <c r="F39" s="333"/>
    </row>
    <row r="40" spans="6:6">
      <c r="F40" s="333"/>
    </row>
    <row r="41" spans="6:6">
      <c r="F41" s="333"/>
    </row>
  </sheetData>
  <sheetProtection algorithmName="SHA-512" hashValue="7SuJ7Ne7a5DZWV7YzHzlGazvcyvZmas2bSFMUpGyake+hkbx7YIoM99OVKyJlHuten983UUPELieXU34eYcbYw==" saltValue="GI2/NPsKCUZcTYO8LI2L8Q==" spinCount="100000" sheet="1" objects="1" scenarios="1"/>
  <pageMargins left="0.7" right="0.7" top="0.78740157499999996" bottom="0.78740157499999996" header="0.3" footer="0.3"/>
  <pictur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2B08-3699-4BB2-B548-C79A16A936B6}">
  <sheetPr codeName="Tabelle26"/>
  <dimension ref="A1"/>
  <sheetViews>
    <sheetView workbookViewId="0"/>
  </sheetViews>
  <sheetFormatPr baseColWidth="10" defaultRowHeight="1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pageSetUpPr fitToPage="1"/>
  </sheetPr>
  <dimension ref="B1:AU53"/>
  <sheetViews>
    <sheetView zoomScale="80" zoomScaleNormal="80" zoomScaleSheetLayoutView="70" zoomScalePageLayoutView="130" workbookViewId="0">
      <selection activeCell="E5" sqref="E5"/>
    </sheetView>
  </sheetViews>
  <sheetFormatPr baseColWidth="10" defaultColWidth="11.36328125" defaultRowHeight="12.5" outlineLevelCol="1"/>
  <cols>
    <col min="1" max="1" width="1.7265625" style="1" customWidth="1"/>
    <col min="2" max="2" width="15.7265625" style="2" customWidth="1"/>
    <col min="3" max="3" width="5.81640625" style="261" customWidth="1"/>
    <col min="4" max="4" width="5.36328125" style="3" customWidth="1"/>
    <col min="5" max="5" width="80.08984375" style="4" customWidth="1"/>
    <col min="6" max="6" width="16.08984375" style="2" customWidth="1"/>
    <col min="7" max="7" width="16" style="5" customWidth="1"/>
    <col min="8" max="10" width="7.81640625" style="4" hidden="1" customWidth="1"/>
    <col min="11" max="11" width="9.6328125" style="4" customWidth="1" outlineLevel="1"/>
    <col min="12" max="12" width="10.7265625" style="4" customWidth="1" outlineLevel="1"/>
    <col min="13" max="13" width="27.7265625" style="4" customWidth="1" outlineLevel="1"/>
    <col min="14" max="14" width="3.7265625" style="4" customWidth="1" outlineLevel="1"/>
    <col min="15" max="15" width="3.7265625" style="4" customWidth="1"/>
    <col min="16" max="16" width="3.7265625" style="4" customWidth="1" outlineLevel="1"/>
    <col min="17" max="17" width="11.26953125" style="4" customWidth="1" outlineLevel="1"/>
    <col min="18" max="18" width="46.6328125" style="5" customWidth="1" outlineLevel="1"/>
    <col min="19" max="19" width="11.36328125" hidden="1" customWidth="1"/>
    <col min="20" max="20" width="3.7265625" style="4" hidden="1" customWidth="1" collapsed="1"/>
    <col min="21" max="21" width="3.7265625" style="4" hidden="1" customWidth="1" outlineLevel="1"/>
    <col min="22" max="22" width="11.26953125" style="4" hidden="1" customWidth="1" outlineLevel="1"/>
    <col min="23" max="23" width="46.6328125" style="5" hidden="1" customWidth="1" outlineLevel="1"/>
    <col min="24" max="24" width="3.7265625" style="1" hidden="1" customWidth="1" outlineLevel="1"/>
    <col min="25" max="25" width="3.7265625" style="4" hidden="1" customWidth="1" collapsed="1"/>
    <col min="26" max="26" width="3.7265625" style="4" hidden="1" customWidth="1" outlineLevel="1"/>
    <col min="27" max="27" width="11.26953125" style="4" hidden="1" customWidth="1" outlineLevel="1"/>
    <col min="28" max="28" width="46.6328125" style="5" hidden="1" customWidth="1" outlineLevel="1"/>
    <col min="29" max="29" width="3.7265625" style="1" hidden="1" customWidth="1" outlineLevel="1"/>
    <col min="30" max="30" width="3.7265625" style="1" hidden="1" customWidth="1" collapsed="1"/>
    <col min="31" max="31" width="3.7265625" style="4" hidden="1" customWidth="1" outlineLevel="1"/>
    <col min="32" max="32" width="11.26953125" style="4" hidden="1" customWidth="1" outlineLevel="1"/>
    <col min="33" max="33" width="46.6328125" style="5" hidden="1" customWidth="1" outlineLevel="1"/>
    <col min="34" max="34" width="3.7265625" style="1" hidden="1" customWidth="1" outlineLevel="1"/>
    <col min="35" max="35" width="3.7265625" style="1" hidden="1" customWidth="1" collapsed="1"/>
    <col min="36" max="36" width="3.7265625" style="4" hidden="1" customWidth="1" outlineLevel="1"/>
    <col min="37" max="37" width="11.26953125" style="4" hidden="1" customWidth="1" outlineLevel="1"/>
    <col min="38" max="38" width="46.6328125" style="5" hidden="1" customWidth="1" outlineLevel="1"/>
    <col min="39" max="39" width="3.7265625" style="1" hidden="1" customWidth="1" outlineLevel="1"/>
    <col min="40" max="40" width="3.7265625" style="1" hidden="1" customWidth="1" collapsed="1"/>
    <col min="41" max="41" width="3.7265625" style="4" hidden="1" customWidth="1" outlineLevel="1"/>
    <col min="42" max="42" width="11.26953125" style="4" hidden="1" customWidth="1" outlineLevel="1"/>
    <col min="43" max="43" width="46.6328125" style="5" hidden="1" customWidth="1" outlineLevel="1"/>
    <col min="44" max="44" width="3.7265625" style="1" hidden="1" customWidth="1" outlineLevel="1"/>
    <col min="45" max="45" width="3.7265625" style="1" hidden="1" customWidth="1"/>
    <col min="46" max="46" width="53.36328125" style="1" customWidth="1"/>
    <col min="47" max="16384" width="11.36328125" style="1"/>
  </cols>
  <sheetData>
    <row r="1" spans="2:43" ht="78" customHeight="1">
      <c r="B1" s="1225" t="s">
        <v>798</v>
      </c>
      <c r="C1" s="1225"/>
      <c r="D1" s="1225"/>
      <c r="E1" s="1225"/>
      <c r="F1" s="1225"/>
      <c r="G1" s="1225"/>
      <c r="L1"/>
      <c r="O1" s="10">
        <f>R8</f>
        <v>0</v>
      </c>
      <c r="T1" s="10">
        <f>W8</f>
        <v>0</v>
      </c>
      <c r="Y1" s="10">
        <f>AB8</f>
        <v>0</v>
      </c>
      <c r="AD1" s="10">
        <f>AG8</f>
        <v>0</v>
      </c>
      <c r="AI1" s="10">
        <f>AL8</f>
        <v>0</v>
      </c>
      <c r="AN1" s="10">
        <f>AQ8</f>
        <v>0</v>
      </c>
      <c r="AO1" s="1"/>
      <c r="AP1" s="1"/>
    </row>
    <row r="2" spans="2:43" ht="25" customHeight="1" thickBot="1">
      <c r="B2" s="5"/>
      <c r="C2" s="257"/>
      <c r="D2" s="7"/>
      <c r="E2" s="8"/>
      <c r="F2" s="9"/>
      <c r="G2" s="9"/>
      <c r="O2" s="10"/>
      <c r="T2" s="10"/>
      <c r="Y2" s="10"/>
      <c r="AD2" s="10"/>
      <c r="AI2" s="10"/>
      <c r="AN2" s="10"/>
      <c r="AO2" s="1"/>
      <c r="AP2" s="1"/>
    </row>
    <row r="3" spans="2:43" ht="40" customHeight="1" thickBot="1">
      <c r="B3" s="11" t="s">
        <v>38</v>
      </c>
      <c r="C3" s="1236"/>
      <c r="D3" s="1237"/>
      <c r="E3" s="1237"/>
      <c r="F3" s="1237"/>
      <c r="G3" s="1238"/>
      <c r="J3" s="1224"/>
      <c r="K3"/>
      <c r="L3"/>
      <c r="M3"/>
      <c r="O3" s="1223" t="s">
        <v>39</v>
      </c>
      <c r="T3" s="1223" t="s">
        <v>40</v>
      </c>
      <c r="Y3" s="1223" t="s">
        <v>41</v>
      </c>
      <c r="AD3" s="1223" t="s">
        <v>42</v>
      </c>
      <c r="AI3" s="1223" t="s">
        <v>43</v>
      </c>
      <c r="AN3" s="1223" t="s">
        <v>44</v>
      </c>
      <c r="AO3" s="1"/>
      <c r="AP3" s="1"/>
    </row>
    <row r="4" spans="2:43" ht="30" customHeight="1" thickBot="1">
      <c r="B4" s="179"/>
      <c r="C4" s="258"/>
      <c r="D4" s="180"/>
      <c r="E4" s="181"/>
      <c r="F4" s="181"/>
      <c r="G4" s="181"/>
      <c r="J4" s="1224"/>
      <c r="K4"/>
      <c r="L4"/>
      <c r="M4"/>
      <c r="O4" s="1223"/>
      <c r="T4" s="1223"/>
      <c r="Y4" s="1223"/>
      <c r="AD4" s="1223"/>
      <c r="AI4" s="1223"/>
      <c r="AN4" s="1223"/>
      <c r="AO4" s="1"/>
      <c r="AP4" s="1"/>
    </row>
    <row r="5" spans="2:43" ht="43.5" customHeight="1" thickBot="1">
      <c r="B5" s="1239" t="s">
        <v>45</v>
      </c>
      <c r="C5" s="1240"/>
      <c r="D5" s="1241"/>
      <c r="E5" s="1204" t="s">
        <v>6</v>
      </c>
      <c r="F5" s="171"/>
      <c r="G5" s="171"/>
      <c r="J5" s="1224"/>
      <c r="K5"/>
      <c r="L5"/>
      <c r="M5"/>
      <c r="O5" s="12"/>
      <c r="T5" s="12"/>
      <c r="Y5" s="12"/>
      <c r="AD5" s="12"/>
      <c r="AI5" s="12"/>
      <c r="AN5" s="12"/>
      <c r="AO5" s="1"/>
      <c r="AP5" s="1"/>
    </row>
    <row r="6" spans="2:43" ht="18.75" customHeight="1">
      <c r="B6" s="182"/>
      <c r="C6" s="259"/>
      <c r="D6" s="182"/>
      <c r="F6" s="180"/>
      <c r="G6" s="180"/>
      <c r="J6" s="1224"/>
      <c r="K6"/>
      <c r="L6"/>
      <c r="M6"/>
      <c r="O6" s="12"/>
      <c r="T6" s="12"/>
      <c r="Y6" s="12"/>
      <c r="AD6" s="12"/>
      <c r="AI6" s="12"/>
      <c r="AN6" s="12"/>
      <c r="AO6" s="1"/>
      <c r="AP6" s="1"/>
    </row>
    <row r="7" spans="2:43" ht="18.75" customHeight="1" thickBot="1">
      <c r="B7" s="5"/>
      <c r="C7" s="257"/>
      <c r="D7" s="13"/>
      <c r="E7" s="609"/>
      <c r="F7" s="610"/>
      <c r="G7" s="610"/>
      <c r="J7" s="1224"/>
      <c r="K7"/>
      <c r="L7"/>
      <c r="M7"/>
      <c r="O7" s="14"/>
      <c r="T7" s="15"/>
      <c r="Y7" s="15"/>
      <c r="AD7"/>
      <c r="AI7"/>
      <c r="AN7"/>
      <c r="AO7" s="1"/>
      <c r="AP7" s="1"/>
    </row>
    <row r="8" spans="2:43" ht="42" customHeight="1" thickBot="1">
      <c r="B8" s="183"/>
      <c r="C8" s="257"/>
      <c r="D8" s="184"/>
      <c r="E8" s="185" t="s">
        <v>46</v>
      </c>
      <c r="F8" s="1234">
        <f>G11+G21+G40+G44</f>
        <v>0</v>
      </c>
      <c r="G8" s="1235"/>
      <c r="Q8" s="1191" t="s">
        <v>47</v>
      </c>
      <c r="R8" s="1190"/>
      <c r="V8" s="16" t="s">
        <v>47</v>
      </c>
      <c r="W8" s="301"/>
      <c r="X8" s="17"/>
      <c r="AA8" s="16" t="s">
        <v>47</v>
      </c>
      <c r="AB8" s="301"/>
      <c r="AC8" s="17"/>
      <c r="AF8" s="16" t="s">
        <v>47</v>
      </c>
      <c r="AG8" s="301"/>
      <c r="AH8" s="17"/>
      <c r="AK8" s="16" t="s">
        <v>47</v>
      </c>
      <c r="AL8" s="301"/>
      <c r="AM8" s="17"/>
      <c r="AP8" s="16" t="s">
        <v>47</v>
      </c>
      <c r="AQ8" s="301"/>
    </row>
    <row r="9" spans="2:43" ht="31.5" customHeight="1" thickBot="1">
      <c r="B9" s="1226" t="s">
        <v>48</v>
      </c>
      <c r="C9" s="1227"/>
      <c r="D9" s="1228"/>
      <c r="E9" s="1232" t="s">
        <v>49</v>
      </c>
      <c r="F9" s="186" t="s">
        <v>50</v>
      </c>
      <c r="G9" s="187" t="s">
        <v>51</v>
      </c>
      <c r="I9" s="18"/>
      <c r="L9" s="309" t="s">
        <v>396</v>
      </c>
      <c r="Q9" s="1192" t="s">
        <v>52</v>
      </c>
      <c r="R9" s="1189" t="s">
        <v>53</v>
      </c>
      <c r="U9" s="19"/>
      <c r="V9" s="21" t="s">
        <v>52</v>
      </c>
      <c r="W9" s="302" t="s">
        <v>53</v>
      </c>
      <c r="X9" s="20"/>
      <c r="Z9" s="19"/>
      <c r="AA9" s="21" t="s">
        <v>52</v>
      </c>
      <c r="AB9" s="302" t="s">
        <v>53</v>
      </c>
      <c r="AC9" s="20"/>
      <c r="AE9" s="19"/>
      <c r="AF9" s="21" t="s">
        <v>52</v>
      </c>
      <c r="AG9" s="302" t="s">
        <v>53</v>
      </c>
      <c r="AH9" s="20"/>
      <c r="AJ9" s="19"/>
      <c r="AK9" s="21" t="s">
        <v>52</v>
      </c>
      <c r="AL9" s="302" t="s">
        <v>53</v>
      </c>
      <c r="AM9" s="20"/>
      <c r="AO9" s="19"/>
      <c r="AP9" s="21" t="s">
        <v>52</v>
      </c>
      <c r="AQ9" s="302" t="s">
        <v>53</v>
      </c>
    </row>
    <row r="10" spans="2:43" ht="4.5" customHeight="1" thickBot="1">
      <c r="B10" s="1229"/>
      <c r="C10" s="1230"/>
      <c r="D10" s="1231"/>
      <c r="E10" s="1233"/>
      <c r="F10" s="186"/>
      <c r="G10" s="188"/>
      <c r="H10" s="4">
        <v>0</v>
      </c>
      <c r="Q10" s="22"/>
      <c r="V10" s="22"/>
      <c r="AA10" s="22"/>
      <c r="AF10" s="22"/>
      <c r="AK10" s="22"/>
      <c r="AP10" s="22"/>
    </row>
    <row r="11" spans="2:43" s="23" customFormat="1" ht="41.5" customHeight="1" thickBot="1">
      <c r="B11" s="189" t="s">
        <v>54</v>
      </c>
      <c r="C11" s="260"/>
      <c r="D11" s="190"/>
      <c r="E11" s="191" t="s">
        <v>667</v>
      </c>
      <c r="F11" s="460">
        <v>340</v>
      </c>
      <c r="G11" s="192">
        <f>IF(SUM(G12:G19)&lt;F11,SUM(G12:G19),F11)</f>
        <v>0</v>
      </c>
      <c r="H11" s="29">
        <v>10</v>
      </c>
      <c r="I11" s="29">
        <v>0</v>
      </c>
      <c r="J11" s="24"/>
      <c r="K11" s="24"/>
      <c r="L11" s="790"/>
      <c r="M11" s="791" t="s">
        <v>55</v>
      </c>
      <c r="N11" s="6"/>
      <c r="O11" s="6"/>
      <c r="P11" s="6"/>
      <c r="Q11" s="25"/>
      <c r="R11" s="26"/>
      <c r="T11" s="24"/>
      <c r="U11" s="27"/>
      <c r="V11" s="25"/>
      <c r="W11" s="26"/>
      <c r="Y11" s="24"/>
      <c r="Z11" s="27"/>
      <c r="AA11" s="25"/>
      <c r="AB11" s="26"/>
      <c r="AE11" s="27"/>
      <c r="AF11" s="25"/>
      <c r="AG11" s="26"/>
      <c r="AJ11" s="27"/>
      <c r="AK11" s="25"/>
      <c r="AL11" s="26"/>
      <c r="AO11" s="27"/>
      <c r="AP11" s="25"/>
      <c r="AQ11" s="26"/>
    </row>
    <row r="12" spans="2:43" s="20" customFormat="1" ht="32.5" customHeight="1" thickBot="1">
      <c r="B12" s="193" t="s">
        <v>54</v>
      </c>
      <c r="C12" s="194">
        <v>1</v>
      </c>
      <c r="D12" s="21"/>
      <c r="E12" s="730" t="s">
        <v>565</v>
      </c>
      <c r="F12" s="21">
        <v>30</v>
      </c>
      <c r="G12" s="461"/>
      <c r="H12" s="29">
        <v>20</v>
      </c>
      <c r="I12" s="29">
        <v>5</v>
      </c>
      <c r="J12" s="31"/>
      <c r="K12" s="29"/>
      <c r="L12" s="255"/>
      <c r="M12" s="256" t="s">
        <v>56</v>
      </c>
      <c r="N12" s="29"/>
      <c r="O12" s="29"/>
      <c r="P12" s="33"/>
      <c r="Q12" s="30"/>
      <c r="R12" s="314"/>
      <c r="T12" s="29"/>
      <c r="U12" s="33"/>
      <c r="V12" s="30"/>
      <c r="W12" s="302"/>
      <c r="Y12" s="29"/>
      <c r="Z12" s="33"/>
      <c r="AA12" s="30"/>
      <c r="AB12" s="302"/>
      <c r="AD12" s="2"/>
      <c r="AE12" s="33"/>
      <c r="AF12" s="30"/>
      <c r="AG12" s="302"/>
      <c r="AJ12" s="33"/>
      <c r="AK12" s="30"/>
      <c r="AL12" s="302"/>
      <c r="AM12" s="32"/>
      <c r="AO12" s="33"/>
      <c r="AP12" s="30"/>
      <c r="AQ12" s="302"/>
    </row>
    <row r="13" spans="2:43" s="20" customFormat="1" ht="32.5" customHeight="1">
      <c r="B13" s="193" t="s">
        <v>54</v>
      </c>
      <c r="C13" s="194">
        <v>2</v>
      </c>
      <c r="D13" s="21"/>
      <c r="E13" s="730" t="s">
        <v>586</v>
      </c>
      <c r="F13" s="196">
        <v>20</v>
      </c>
      <c r="G13" s="462"/>
      <c r="H13" s="29">
        <v>30</v>
      </c>
      <c r="I13" s="29">
        <v>10</v>
      </c>
      <c r="J13" s="29"/>
      <c r="K13" s="29"/>
      <c r="L13" s="29"/>
      <c r="M13" s="29"/>
      <c r="N13" s="29"/>
      <c r="O13" s="29"/>
      <c r="P13" s="33"/>
      <c r="Q13" s="30"/>
      <c r="R13" s="314"/>
      <c r="T13" s="29"/>
      <c r="U13" s="33"/>
      <c r="V13" s="28"/>
      <c r="W13" s="302"/>
      <c r="Y13" s="29"/>
      <c r="Z13" s="33"/>
      <c r="AA13" s="28"/>
      <c r="AB13" s="302"/>
      <c r="AC13" s="32"/>
      <c r="AE13" s="33"/>
      <c r="AF13" s="28"/>
      <c r="AG13" s="302"/>
      <c r="AJ13" s="33"/>
      <c r="AK13" s="28"/>
      <c r="AL13" s="302"/>
      <c r="AM13" s="32"/>
      <c r="AO13" s="33"/>
      <c r="AP13" s="28"/>
      <c r="AQ13" s="302"/>
    </row>
    <row r="14" spans="2:43" s="20" customFormat="1" ht="32.5" customHeight="1">
      <c r="B14" s="193" t="s">
        <v>54</v>
      </c>
      <c r="C14" s="194">
        <v>3</v>
      </c>
      <c r="D14" s="21"/>
      <c r="E14" s="730" t="s">
        <v>668</v>
      </c>
      <c r="F14" s="722">
        <v>175</v>
      </c>
      <c r="G14" s="28">
        <f>'A 3.'!F53</f>
        <v>0</v>
      </c>
      <c r="H14" s="29">
        <v>0</v>
      </c>
      <c r="I14" s="29">
        <v>15</v>
      </c>
      <c r="J14" s="29"/>
      <c r="K14" s="29"/>
      <c r="L14" s="29"/>
      <c r="M14" s="29"/>
      <c r="N14" s="29"/>
      <c r="O14" s="29"/>
      <c r="P14" s="33"/>
      <c r="Q14" s="28"/>
      <c r="R14" s="315"/>
      <c r="T14" s="29"/>
      <c r="U14" s="33"/>
      <c r="V14" s="28"/>
      <c r="W14" s="302"/>
      <c r="Y14" s="29"/>
      <c r="Z14" s="33"/>
      <c r="AA14" s="28"/>
      <c r="AB14" s="302"/>
      <c r="AC14" s="32"/>
      <c r="AE14" s="33"/>
      <c r="AF14" s="28"/>
      <c r="AG14" s="302"/>
      <c r="AJ14" s="33"/>
      <c r="AK14" s="28"/>
      <c r="AL14" s="302"/>
      <c r="AM14" s="32"/>
      <c r="AO14" s="33"/>
      <c r="AP14" s="28"/>
      <c r="AQ14" s="302"/>
    </row>
    <row r="15" spans="2:43" s="20" customFormat="1" ht="32.5" customHeight="1">
      <c r="B15" s="193" t="s">
        <v>54</v>
      </c>
      <c r="C15" s="196" t="s">
        <v>547</v>
      </c>
      <c r="D15" s="21"/>
      <c r="E15" s="730" t="s">
        <v>563</v>
      </c>
      <c r="F15" s="195">
        <v>60</v>
      </c>
      <c r="G15" s="28">
        <f>'A 4.'!E29</f>
        <v>0</v>
      </c>
      <c r="H15" s="29">
        <v>10</v>
      </c>
      <c r="I15" s="29">
        <v>20</v>
      </c>
      <c r="J15" s="34"/>
      <c r="K15" s="29"/>
      <c r="L15" s="29"/>
      <c r="M15" s="29"/>
      <c r="N15" s="29"/>
      <c r="O15" s="29"/>
      <c r="P15" s="33"/>
      <c r="Q15" s="28"/>
      <c r="R15" s="302"/>
      <c r="T15" s="29"/>
      <c r="U15" s="33"/>
      <c r="V15" s="28"/>
      <c r="W15" s="302"/>
      <c r="Y15" s="29"/>
      <c r="Z15" s="33"/>
      <c r="AA15" s="28"/>
      <c r="AB15" s="302"/>
      <c r="AC15" s="32"/>
      <c r="AE15" s="33"/>
      <c r="AF15" s="28"/>
      <c r="AG15" s="302"/>
      <c r="AJ15" s="33"/>
      <c r="AK15" s="28"/>
      <c r="AL15" s="302"/>
      <c r="AM15" s="32"/>
      <c r="AO15" s="33"/>
      <c r="AP15" s="28"/>
      <c r="AQ15" s="302"/>
    </row>
    <row r="16" spans="2:43" s="20" customFormat="1" ht="32.5" customHeight="1">
      <c r="B16" s="220" t="s">
        <v>54</v>
      </c>
      <c r="C16" s="197" t="s">
        <v>548</v>
      </c>
      <c r="D16" s="21"/>
      <c r="E16" s="730" t="s">
        <v>58</v>
      </c>
      <c r="F16" s="196">
        <v>30</v>
      </c>
      <c r="G16" s="28">
        <f>'A 5.'!B30</f>
        <v>0</v>
      </c>
      <c r="H16" s="29"/>
      <c r="I16" s="29"/>
      <c r="J16" s="34"/>
      <c r="K16" s="29"/>
      <c r="L16" s="29"/>
      <c r="M16" s="29"/>
      <c r="N16" s="29"/>
      <c r="O16" s="29"/>
      <c r="P16" s="33"/>
      <c r="Q16" s="53"/>
      <c r="R16" s="302"/>
      <c r="T16" s="29"/>
      <c r="U16" s="33"/>
      <c r="V16" s="53"/>
      <c r="W16" s="302"/>
      <c r="Y16" s="29"/>
      <c r="Z16" s="33"/>
      <c r="AA16" s="53"/>
      <c r="AB16" s="302"/>
      <c r="AC16" s="32"/>
      <c r="AE16" s="33"/>
      <c r="AF16" s="53"/>
      <c r="AG16" s="302"/>
      <c r="AJ16" s="33"/>
      <c r="AK16" s="53"/>
      <c r="AL16" s="302"/>
      <c r="AM16" s="32"/>
      <c r="AO16" s="33"/>
      <c r="AP16" s="53"/>
      <c r="AQ16" s="302"/>
    </row>
    <row r="17" spans="2:47" s="20" customFormat="1" ht="32.5" customHeight="1">
      <c r="B17" s="220" t="s">
        <v>54</v>
      </c>
      <c r="C17" s="197" t="s">
        <v>587</v>
      </c>
      <c r="D17" s="21"/>
      <c r="E17" s="730" t="s">
        <v>59</v>
      </c>
      <c r="F17" s="196">
        <v>40</v>
      </c>
      <c r="G17" s="28">
        <f>'A 6.'!D9</f>
        <v>0</v>
      </c>
      <c r="H17" s="29">
        <v>0</v>
      </c>
      <c r="I17" s="29"/>
      <c r="J17" s="34"/>
      <c r="K17" s="29"/>
      <c r="L17" s="29"/>
      <c r="M17" s="29"/>
      <c r="N17" s="29"/>
      <c r="O17" s="29"/>
      <c r="P17" s="33"/>
      <c r="Q17" s="53"/>
      <c r="R17" s="302"/>
      <c r="T17" s="29"/>
      <c r="U17" s="33"/>
      <c r="V17" s="53"/>
      <c r="W17" s="302"/>
      <c r="Y17" s="29"/>
      <c r="Z17" s="33"/>
      <c r="AA17" s="53"/>
      <c r="AB17" s="302"/>
      <c r="AC17" s="32"/>
      <c r="AE17" s="33"/>
      <c r="AF17" s="53"/>
      <c r="AG17" s="302"/>
      <c r="AJ17" s="33"/>
      <c r="AK17" s="53"/>
      <c r="AL17" s="302"/>
      <c r="AM17" s="32"/>
      <c r="AO17" s="33"/>
      <c r="AP17" s="53"/>
      <c r="AQ17" s="302"/>
    </row>
    <row r="18" spans="2:47" s="20" customFormat="1" ht="32.5" customHeight="1">
      <c r="B18" s="193" t="s">
        <v>54</v>
      </c>
      <c r="C18" s="196" t="s">
        <v>588</v>
      </c>
      <c r="D18" s="21"/>
      <c r="E18" s="730" t="s">
        <v>60</v>
      </c>
      <c r="F18" s="197">
        <v>10</v>
      </c>
      <c r="G18" s="28">
        <f>'A 7.'!D11</f>
        <v>0</v>
      </c>
      <c r="H18" s="29">
        <v>10</v>
      </c>
      <c r="I18" s="29"/>
      <c r="J18" s="34"/>
      <c r="K18" s="29"/>
      <c r="L18" s="29"/>
      <c r="M18" s="29"/>
      <c r="N18" s="29"/>
      <c r="O18" s="29"/>
      <c r="P18" s="33"/>
      <c r="Q18" s="53"/>
      <c r="R18" s="302"/>
      <c r="T18" s="29"/>
      <c r="U18" s="33"/>
      <c r="V18" s="70"/>
      <c r="W18" s="302"/>
      <c r="Y18" s="29"/>
      <c r="Z18" s="33"/>
      <c r="AA18" s="70"/>
      <c r="AB18" s="302"/>
      <c r="AC18" s="32"/>
      <c r="AE18" s="33"/>
      <c r="AF18" s="70"/>
      <c r="AG18" s="302"/>
      <c r="AJ18" s="33"/>
      <c r="AK18" s="70"/>
      <c r="AL18" s="302"/>
      <c r="AM18" s="32"/>
      <c r="AO18" s="33"/>
      <c r="AP18" s="70"/>
      <c r="AQ18" s="302"/>
    </row>
    <row r="19" spans="2:47" s="20" customFormat="1" ht="32.5" customHeight="1" thickBot="1">
      <c r="B19" s="221" t="s">
        <v>54</v>
      </c>
      <c r="C19" s="198" t="s">
        <v>589</v>
      </c>
      <c r="D19" s="214"/>
      <c r="E19" s="731" t="s">
        <v>61</v>
      </c>
      <c r="F19" s="198">
        <v>10</v>
      </c>
      <c r="G19" s="432">
        <f>'A 8.'!C6</f>
        <v>0</v>
      </c>
      <c r="H19" s="29">
        <v>20</v>
      </c>
      <c r="I19" s="29"/>
      <c r="J19" s="34"/>
      <c r="K19" s="29"/>
      <c r="L19" s="29"/>
      <c r="M19" s="35">
        <v>0</v>
      </c>
      <c r="N19" s="29"/>
      <c r="O19" s="29"/>
      <c r="P19" s="33"/>
      <c r="Q19" s="53"/>
      <c r="R19" s="302"/>
      <c r="T19" s="29"/>
      <c r="U19" s="33"/>
      <c r="V19" s="71"/>
      <c r="W19" s="302"/>
      <c r="Y19" s="29"/>
      <c r="Z19" s="33"/>
      <c r="AA19" s="71"/>
      <c r="AB19" s="302"/>
      <c r="AC19" s="32"/>
      <c r="AE19" s="33"/>
      <c r="AF19" s="71"/>
      <c r="AG19" s="302"/>
      <c r="AJ19" s="33"/>
      <c r="AK19" s="71"/>
      <c r="AL19" s="302"/>
      <c r="AM19" s="32"/>
      <c r="AO19" s="33"/>
      <c r="AP19" s="71"/>
      <c r="AQ19" s="302"/>
      <c r="AT19" s="39"/>
    </row>
    <row r="20" spans="2:47" ht="6" customHeight="1" thickBot="1">
      <c r="B20" s="5"/>
      <c r="C20" s="6"/>
      <c r="D20" s="36"/>
      <c r="E20" s="29"/>
      <c r="F20" s="199"/>
      <c r="G20" s="199"/>
      <c r="H20" s="4">
        <v>30</v>
      </c>
      <c r="M20" s="35">
        <v>10</v>
      </c>
      <c r="Q20" s="36"/>
      <c r="R20" s="302"/>
      <c r="V20" s="36"/>
      <c r="W20" s="302"/>
      <c r="AA20" s="36"/>
      <c r="AB20" s="302"/>
      <c r="AC20" s="37"/>
      <c r="AF20" s="36"/>
      <c r="AG20" s="302"/>
      <c r="AK20" s="36"/>
      <c r="AL20" s="302"/>
      <c r="AM20" s="37"/>
      <c r="AP20" s="36"/>
      <c r="AQ20" s="302"/>
    </row>
    <row r="21" spans="2:47" s="38" customFormat="1" ht="30" customHeight="1">
      <c r="B21" s="200" t="s">
        <v>62</v>
      </c>
      <c r="C21" s="201"/>
      <c r="D21" s="262"/>
      <c r="E21" s="202" t="s">
        <v>669</v>
      </c>
      <c r="F21" s="457">
        <v>330</v>
      </c>
      <c r="G21" s="203">
        <f>MAX(G22,G29,G36,G37,G38)</f>
        <v>0</v>
      </c>
      <c r="H21" s="39" t="s">
        <v>6</v>
      </c>
      <c r="I21" s="40"/>
      <c r="J21" s="40"/>
      <c r="K21" s="40"/>
      <c r="L21" s="40"/>
      <c r="M21" s="40"/>
      <c r="N21" s="40"/>
      <c r="O21" s="40"/>
      <c r="P21" s="41"/>
      <c r="Q21" s="306"/>
      <c r="R21" s="26"/>
      <c r="T21" s="40"/>
      <c r="U21" s="41"/>
      <c r="V21" s="306"/>
      <c r="W21" s="26"/>
      <c r="Y21" s="40"/>
      <c r="Z21" s="41"/>
      <c r="AA21" s="306"/>
      <c r="AB21" s="26"/>
      <c r="AC21" s="42"/>
      <c r="AE21" s="41"/>
      <c r="AF21" s="306"/>
      <c r="AG21" s="26"/>
      <c r="AJ21" s="41"/>
      <c r="AK21" s="306"/>
      <c r="AL21" s="26"/>
      <c r="AM21" s="42"/>
      <c r="AO21" s="41"/>
      <c r="AP21" s="306"/>
      <c r="AQ21" s="26"/>
      <c r="AT21" s="281"/>
      <c r="AU21" s="281"/>
    </row>
    <row r="22" spans="2:47" s="43" customFormat="1" ht="30" customHeight="1">
      <c r="B22" s="270" t="str">
        <f t="shared" ref="B22:B38" si="0">B$21</f>
        <v>B</v>
      </c>
      <c r="C22" s="204">
        <v>1</v>
      </c>
      <c r="D22" s="263"/>
      <c r="E22" s="205" t="s">
        <v>670</v>
      </c>
      <c r="F22" s="456">
        <v>330</v>
      </c>
      <c r="G22" s="206">
        <f>IF(SUM(G23:G27)&lt;F22,SUM(G23:G27),F22)</f>
        <v>0</v>
      </c>
      <c r="H22" s="39" t="s">
        <v>391</v>
      </c>
      <c r="I22" s="39"/>
      <c r="J22" s="39"/>
      <c r="K22" s="39"/>
      <c r="L22" s="39"/>
      <c r="M22" s="39"/>
      <c r="N22" s="39"/>
      <c r="O22" s="39"/>
      <c r="P22" s="44"/>
      <c r="Q22" s="307"/>
      <c r="R22" s="303"/>
      <c r="T22" s="39"/>
      <c r="U22" s="44"/>
      <c r="V22" s="307"/>
      <c r="W22" s="303"/>
      <c r="Y22" s="39"/>
      <c r="Z22" s="44"/>
      <c r="AA22" s="307"/>
      <c r="AB22" s="303"/>
      <c r="AC22" s="45"/>
      <c r="AE22" s="44"/>
      <c r="AF22" s="307"/>
      <c r="AG22" s="303"/>
      <c r="AJ22" s="44"/>
      <c r="AK22" s="307"/>
      <c r="AL22" s="303"/>
      <c r="AM22" s="45"/>
      <c r="AO22" s="44"/>
      <c r="AP22" s="307"/>
      <c r="AQ22" s="303"/>
    </row>
    <row r="23" spans="2:47" s="20" customFormat="1" ht="30" customHeight="1">
      <c r="B23" s="193" t="str">
        <f t="shared" si="0"/>
        <v>B</v>
      </c>
      <c r="C23" s="194">
        <v>1</v>
      </c>
      <c r="D23" s="21" t="s">
        <v>57</v>
      </c>
      <c r="E23" s="730" t="s">
        <v>692</v>
      </c>
      <c r="F23" s="458">
        <v>50</v>
      </c>
      <c r="G23" s="459">
        <f>IF(ISNUMBER('B 1. '!B16),'B 1. '!B16,0)</f>
        <v>0</v>
      </c>
      <c r="H23" s="29"/>
      <c r="I23" s="29"/>
      <c r="J23" s="29"/>
      <c r="K23" s="29"/>
      <c r="L23" s="29"/>
      <c r="M23" s="29"/>
      <c r="N23" s="29"/>
      <c r="O23" s="29"/>
      <c r="P23" s="33"/>
      <c r="Q23" s="308"/>
      <c r="R23" s="302"/>
      <c r="T23" s="29"/>
      <c r="U23" s="33"/>
      <c r="V23" s="308"/>
      <c r="W23" s="302"/>
      <c r="Y23" s="29"/>
      <c r="Z23" s="33"/>
      <c r="AA23" s="308"/>
      <c r="AB23" s="302"/>
      <c r="AC23" s="32"/>
      <c r="AE23" s="33"/>
      <c r="AF23" s="308"/>
      <c r="AG23" s="302"/>
      <c r="AJ23" s="33"/>
      <c r="AK23" s="308"/>
      <c r="AL23" s="302"/>
      <c r="AM23" s="32"/>
      <c r="AO23" s="33"/>
      <c r="AP23" s="308"/>
      <c r="AQ23" s="302"/>
    </row>
    <row r="24" spans="2:47" s="20" customFormat="1" ht="30" customHeight="1">
      <c r="B24" s="193" t="s">
        <v>62</v>
      </c>
      <c r="C24" s="194" t="s">
        <v>57</v>
      </c>
      <c r="D24" s="21" t="s">
        <v>545</v>
      </c>
      <c r="E24" s="730" t="s">
        <v>671</v>
      </c>
      <c r="F24" s="21">
        <v>45</v>
      </c>
      <c r="G24" s="459">
        <f>IF(ISNUMBER('B 1. '!B17),'B 1. '!B17,0)</f>
        <v>0</v>
      </c>
      <c r="H24" s="29"/>
      <c r="I24" s="29"/>
      <c r="J24" s="29"/>
      <c r="K24" s="29"/>
      <c r="L24" s="29"/>
      <c r="M24" s="29"/>
      <c r="N24" s="29"/>
      <c r="O24" s="29"/>
      <c r="P24" s="33"/>
      <c r="Q24" s="308"/>
      <c r="R24" s="302"/>
      <c r="T24" s="29"/>
      <c r="U24" s="33"/>
      <c r="V24" s="308"/>
      <c r="W24" s="302"/>
      <c r="Y24" s="29"/>
      <c r="Z24" s="33"/>
      <c r="AA24" s="308"/>
      <c r="AB24" s="302"/>
      <c r="AC24" s="32"/>
      <c r="AE24" s="33"/>
      <c r="AF24" s="308"/>
      <c r="AG24" s="302"/>
      <c r="AJ24" s="33"/>
      <c r="AK24" s="308"/>
      <c r="AL24" s="302"/>
      <c r="AM24" s="32"/>
      <c r="AO24" s="33"/>
      <c r="AP24" s="308"/>
      <c r="AQ24" s="302"/>
    </row>
    <row r="25" spans="2:47" s="20" customFormat="1" ht="30" customHeight="1">
      <c r="B25" s="193" t="str">
        <f t="shared" si="0"/>
        <v>B</v>
      </c>
      <c r="C25" s="194" t="s">
        <v>57</v>
      </c>
      <c r="D25" s="21" t="s">
        <v>546</v>
      </c>
      <c r="E25" s="730" t="s">
        <v>624</v>
      </c>
      <c r="F25" s="21">
        <v>120</v>
      </c>
      <c r="G25" s="459">
        <f>IF(ISNUMBER('B 1. '!B18),'B 1. '!B18,0)</f>
        <v>0</v>
      </c>
      <c r="H25" s="29"/>
      <c r="I25" s="29"/>
      <c r="J25" s="29"/>
      <c r="K25" s="29"/>
      <c r="L25" s="29"/>
      <c r="M25" s="29"/>
      <c r="N25" s="29"/>
      <c r="O25" s="29"/>
      <c r="P25" s="33"/>
      <c r="Q25" s="308"/>
      <c r="R25" s="302"/>
      <c r="T25" s="29"/>
      <c r="U25" s="33"/>
      <c r="V25" s="308"/>
      <c r="W25" s="302"/>
      <c r="Y25" s="29"/>
      <c r="Z25" s="33"/>
      <c r="AA25" s="308"/>
      <c r="AB25" s="302"/>
      <c r="AC25" s="32"/>
      <c r="AE25" s="33"/>
      <c r="AF25" s="308"/>
      <c r="AG25" s="302"/>
      <c r="AJ25" s="33"/>
      <c r="AK25" s="308"/>
      <c r="AL25" s="302"/>
      <c r="AM25" s="32"/>
      <c r="AO25" s="33"/>
      <c r="AP25" s="308"/>
      <c r="AQ25" s="302"/>
    </row>
    <row r="26" spans="2:47" s="20" customFormat="1" ht="30" customHeight="1">
      <c r="B26" s="193" t="str">
        <f t="shared" si="0"/>
        <v>B</v>
      </c>
      <c r="C26" s="194" t="s">
        <v>57</v>
      </c>
      <c r="D26" s="21" t="s">
        <v>547</v>
      </c>
      <c r="E26" s="730" t="s">
        <v>751</v>
      </c>
      <c r="F26" s="21">
        <v>135</v>
      </c>
      <c r="G26" s="459">
        <f>IF(ISNUMBER('B 1. '!B19),'B 1. '!B19,0)</f>
        <v>0</v>
      </c>
      <c r="H26" s="29"/>
      <c r="I26" s="29"/>
      <c r="J26" s="29"/>
      <c r="K26" s="29"/>
      <c r="L26" s="29"/>
      <c r="M26" s="29"/>
      <c r="N26" s="29"/>
      <c r="O26" s="29"/>
      <c r="P26" s="33"/>
      <c r="Q26" s="308"/>
      <c r="R26" s="302"/>
      <c r="T26" s="29"/>
      <c r="U26" s="33"/>
      <c r="V26" s="308"/>
      <c r="W26" s="302"/>
      <c r="Y26" s="29"/>
      <c r="Z26" s="33"/>
      <c r="AA26" s="308"/>
      <c r="AB26" s="302"/>
      <c r="AC26" s="32"/>
      <c r="AE26" s="33"/>
      <c r="AF26" s="308"/>
      <c r="AG26" s="302"/>
      <c r="AJ26" s="33"/>
      <c r="AK26" s="308"/>
      <c r="AL26" s="302"/>
      <c r="AM26" s="32"/>
      <c r="AO26" s="33"/>
      <c r="AP26" s="308"/>
      <c r="AQ26" s="302"/>
    </row>
    <row r="27" spans="2:47" s="20" customFormat="1" ht="32.5" hidden="1" customHeight="1">
      <c r="B27" s="193" t="str">
        <f t="shared" si="0"/>
        <v>B</v>
      </c>
      <c r="C27" s="194">
        <f t="shared" ref="C27:C35" si="1">C$29</f>
        <v>2</v>
      </c>
      <c r="D27" s="21">
        <v>5</v>
      </c>
      <c r="E27" t="s">
        <v>63</v>
      </c>
      <c r="F27" s="21">
        <v>10</v>
      </c>
      <c r="G27" s="207">
        <f>IF(ISNUMBER(#REF!),#REF!,0)</f>
        <v>0</v>
      </c>
      <c r="H27" s="29"/>
      <c r="I27" s="29"/>
      <c r="J27" s="29"/>
      <c r="K27" s="29"/>
      <c r="L27" s="29"/>
      <c r="M27" s="29"/>
      <c r="N27" s="29"/>
      <c r="O27" s="29"/>
      <c r="P27" s="33"/>
      <c r="Q27" s="308"/>
      <c r="R27" s="302"/>
      <c r="T27" s="29"/>
      <c r="U27" s="33"/>
      <c r="V27" s="308"/>
      <c r="W27" s="302"/>
      <c r="Y27" s="29"/>
      <c r="Z27" s="33"/>
      <c r="AA27" s="308"/>
      <c r="AB27" s="302"/>
      <c r="AC27" s="32"/>
      <c r="AE27" s="33"/>
      <c r="AF27" s="308"/>
      <c r="AG27" s="302"/>
      <c r="AJ27" s="33"/>
      <c r="AK27" s="308"/>
      <c r="AL27" s="302"/>
      <c r="AM27" s="32"/>
      <c r="AO27" s="33"/>
      <c r="AP27" s="308"/>
      <c r="AQ27" s="302"/>
    </row>
    <row r="28" spans="2:47" s="20" customFormat="1" ht="32.5" hidden="1" customHeight="1">
      <c r="B28" s="193" t="str">
        <f t="shared" si="0"/>
        <v>B</v>
      </c>
      <c r="C28" s="194">
        <f t="shared" si="1"/>
        <v>2</v>
      </c>
      <c r="D28" s="21">
        <v>6</v>
      </c>
      <c r="E28" t="s">
        <v>64</v>
      </c>
      <c r="F28" s="21" t="s">
        <v>65</v>
      </c>
      <c r="G28" s="462"/>
      <c r="H28" s="29">
        <v>0</v>
      </c>
      <c r="I28" s="29" t="s">
        <v>462</v>
      </c>
      <c r="J28" s="29"/>
      <c r="K28" s="29"/>
      <c r="L28" s="29"/>
      <c r="M28" s="29"/>
      <c r="N28" s="29"/>
      <c r="O28" s="29"/>
      <c r="P28" s="33"/>
      <c r="Q28" s="308"/>
      <c r="R28" s="302"/>
      <c r="T28" s="29"/>
      <c r="U28" s="33"/>
      <c r="V28" s="308"/>
      <c r="W28" s="302"/>
      <c r="Y28" s="29"/>
      <c r="Z28" s="33"/>
      <c r="AA28" s="308"/>
      <c r="AB28" s="302"/>
      <c r="AC28" s="32"/>
      <c r="AE28" s="33"/>
      <c r="AF28" s="308"/>
      <c r="AG28" s="302"/>
      <c r="AJ28" s="33"/>
      <c r="AK28" s="308"/>
      <c r="AL28" s="302"/>
      <c r="AM28" s="32"/>
      <c r="AO28" s="33"/>
      <c r="AP28" s="308"/>
      <c r="AQ28" s="302"/>
    </row>
    <row r="29" spans="2:47" s="43" customFormat="1" ht="30" customHeight="1">
      <c r="B29" s="433" t="s">
        <v>62</v>
      </c>
      <c r="C29" s="434">
        <v>2</v>
      </c>
      <c r="D29" s="435"/>
      <c r="E29" s="305" t="s">
        <v>676</v>
      </c>
      <c r="F29" s="456">
        <v>330</v>
      </c>
      <c r="G29" s="436">
        <f>IF(SUM(G30:G34)&lt;F29,SUM(G30:G34),F29)</f>
        <v>0</v>
      </c>
      <c r="H29" s="39">
        <v>10</v>
      </c>
      <c r="I29" s="39" t="s">
        <v>463</v>
      </c>
      <c r="J29" s="29"/>
      <c r="K29" s="39"/>
      <c r="L29" s="39"/>
      <c r="M29" s="39"/>
      <c r="N29" s="39"/>
      <c r="O29" s="39"/>
      <c r="P29" s="44"/>
      <c r="Q29" s="307"/>
      <c r="R29" s="303"/>
      <c r="T29" s="39"/>
      <c r="U29" s="44"/>
      <c r="V29" s="307"/>
      <c r="W29" s="303"/>
      <c r="Y29" s="39"/>
      <c r="Z29" s="44"/>
      <c r="AA29" s="307"/>
      <c r="AB29" s="303"/>
      <c r="AC29" s="45"/>
      <c r="AE29" s="44"/>
      <c r="AF29" s="307"/>
      <c r="AG29" s="303"/>
      <c r="AJ29" s="44"/>
      <c r="AK29" s="307"/>
      <c r="AL29" s="303"/>
      <c r="AM29" s="45"/>
      <c r="AO29" s="44"/>
      <c r="AP29" s="307"/>
      <c r="AQ29" s="303"/>
    </row>
    <row r="30" spans="2:47" ht="30" customHeight="1">
      <c r="B30" s="437" t="str">
        <f t="shared" si="0"/>
        <v>B</v>
      </c>
      <c r="C30" s="438">
        <f t="shared" si="1"/>
        <v>2</v>
      </c>
      <c r="D30" s="439" t="s">
        <v>57</v>
      </c>
      <c r="E30" s="730" t="s">
        <v>486</v>
      </c>
      <c r="F30" s="21">
        <v>50</v>
      </c>
      <c r="G30" s="440">
        <f>IF(ISNUMBER('B 2. B 3. '!B16),'B 2. B 3. '!B16,0)</f>
        <v>0</v>
      </c>
      <c r="J30" s="29"/>
      <c r="P30" s="47"/>
      <c r="Q30" s="308"/>
      <c r="R30" s="302"/>
      <c r="U30" s="47"/>
      <c r="V30" s="308"/>
      <c r="W30" s="302"/>
      <c r="Z30" s="47"/>
      <c r="AA30" s="308"/>
      <c r="AB30" s="302"/>
      <c r="AC30" s="37"/>
      <c r="AE30" s="47"/>
      <c r="AF30" s="308"/>
      <c r="AG30" s="302"/>
      <c r="AJ30" s="47"/>
      <c r="AK30" s="308"/>
      <c r="AL30" s="302"/>
      <c r="AM30" s="37"/>
      <c r="AO30" s="47"/>
      <c r="AP30" s="308"/>
      <c r="AQ30" s="302"/>
    </row>
    <row r="31" spans="2:47" ht="30" customHeight="1">
      <c r="B31" s="437" t="s">
        <v>62</v>
      </c>
      <c r="C31" s="438">
        <v>2</v>
      </c>
      <c r="D31" s="439" t="s">
        <v>545</v>
      </c>
      <c r="E31" s="730" t="s">
        <v>485</v>
      </c>
      <c r="F31" s="21">
        <v>45</v>
      </c>
      <c r="G31" s="440">
        <f>IF(ISNUMBER('B 2. B 3. '!B17),'B 2. B 3. '!B17,0)</f>
        <v>0</v>
      </c>
      <c r="P31" s="47"/>
      <c r="Q31" s="308"/>
      <c r="R31" s="302"/>
      <c r="U31" s="47"/>
      <c r="V31" s="308"/>
      <c r="W31" s="302"/>
      <c r="Z31" s="47"/>
      <c r="AA31" s="308"/>
      <c r="AB31" s="302"/>
      <c r="AC31" s="37"/>
      <c r="AE31" s="47"/>
      <c r="AF31" s="308"/>
      <c r="AG31" s="302"/>
      <c r="AJ31" s="47"/>
      <c r="AK31" s="308"/>
      <c r="AL31" s="302"/>
      <c r="AM31" s="37"/>
      <c r="AO31" s="47"/>
      <c r="AP31" s="308"/>
      <c r="AQ31" s="302"/>
    </row>
    <row r="32" spans="2:47" s="48" customFormat="1" ht="30" customHeight="1">
      <c r="B32" s="437" t="str">
        <f t="shared" si="0"/>
        <v>B</v>
      </c>
      <c r="C32" s="438">
        <f t="shared" si="1"/>
        <v>2</v>
      </c>
      <c r="D32" s="439" t="s">
        <v>546</v>
      </c>
      <c r="E32" s="730" t="s">
        <v>67</v>
      </c>
      <c r="F32" s="21">
        <v>120</v>
      </c>
      <c r="G32" s="440">
        <f>IF(ISNUMBER('B 2. B 3. '!B18),'B 2. B 3. '!B18,0)</f>
        <v>0</v>
      </c>
      <c r="H32" s="49"/>
      <c r="I32" s="49"/>
      <c r="J32" s="49"/>
      <c r="K32" s="49"/>
      <c r="L32" s="49"/>
      <c r="M32" s="49"/>
      <c r="N32" s="49"/>
      <c r="O32" s="49"/>
      <c r="P32" s="50"/>
      <c r="Q32" s="308"/>
      <c r="R32" s="302"/>
      <c r="T32" s="49"/>
      <c r="U32" s="50"/>
      <c r="V32" s="308"/>
      <c r="W32" s="302"/>
      <c r="Y32" s="49"/>
      <c r="Z32" s="50"/>
      <c r="AA32" s="308"/>
      <c r="AB32" s="302"/>
      <c r="AC32" s="51"/>
      <c r="AE32" s="50"/>
      <c r="AF32" s="308"/>
      <c r="AG32" s="302"/>
      <c r="AJ32" s="50"/>
      <c r="AK32" s="308"/>
      <c r="AL32" s="302"/>
      <c r="AM32" s="51"/>
      <c r="AO32" s="50"/>
      <c r="AP32" s="308"/>
      <c r="AQ32" s="302"/>
    </row>
    <row r="33" spans="2:44" s="20" customFormat="1" ht="30" customHeight="1">
      <c r="B33" s="437" t="str">
        <f t="shared" si="0"/>
        <v>B</v>
      </c>
      <c r="C33" s="438">
        <f t="shared" si="1"/>
        <v>2</v>
      </c>
      <c r="D33" s="439" t="s">
        <v>547</v>
      </c>
      <c r="E33" s="730" t="s">
        <v>752</v>
      </c>
      <c r="F33" s="21">
        <v>135</v>
      </c>
      <c r="G33" s="440">
        <f>IF(ISNUMBER('B 2. B 3. '!B19),'B 2. B 3. '!B19,0)</f>
        <v>0</v>
      </c>
      <c r="H33" s="29"/>
      <c r="I33" s="29"/>
      <c r="J33" s="29"/>
      <c r="K33" s="29"/>
      <c r="L33" s="29"/>
      <c r="M33" s="29"/>
      <c r="N33" s="29"/>
      <c r="O33" s="29"/>
      <c r="P33" s="33"/>
      <c r="Q33" s="308"/>
      <c r="R33" s="302"/>
      <c r="T33" s="29"/>
      <c r="U33" s="33"/>
      <c r="V33" s="308"/>
      <c r="W33" s="302"/>
      <c r="Y33" s="29"/>
      <c r="Z33" s="33"/>
      <c r="AA33" s="308"/>
      <c r="AB33" s="302"/>
      <c r="AC33" s="32"/>
      <c r="AE33" s="33"/>
      <c r="AF33" s="308"/>
      <c r="AG33" s="302"/>
      <c r="AJ33" s="33"/>
      <c r="AK33" s="308"/>
      <c r="AL33" s="302"/>
      <c r="AM33" s="32"/>
      <c r="AO33" s="33"/>
      <c r="AP33" s="308"/>
      <c r="AQ33" s="302"/>
    </row>
    <row r="34" spans="2:44" ht="32.5" hidden="1" customHeight="1">
      <c r="B34" s="437" t="str">
        <f t="shared" si="0"/>
        <v>B</v>
      </c>
      <c r="C34" s="438">
        <f t="shared" si="1"/>
        <v>2</v>
      </c>
      <c r="D34" s="439" t="s">
        <v>68</v>
      </c>
      <c r="E34" t="s">
        <v>63</v>
      </c>
      <c r="F34" s="21">
        <v>10</v>
      </c>
      <c r="G34" s="440">
        <f>IF(ISNUMBER(#REF!),#REF!,0)</f>
        <v>0</v>
      </c>
      <c r="P34" s="47"/>
      <c r="Q34" s="308"/>
      <c r="R34" s="302"/>
      <c r="U34" s="47"/>
      <c r="V34" s="308"/>
      <c r="W34" s="302"/>
      <c r="Z34" s="47"/>
      <c r="AA34" s="308"/>
      <c r="AB34" s="302"/>
      <c r="AC34" s="37"/>
      <c r="AE34" s="47"/>
      <c r="AF34" s="308"/>
      <c r="AG34" s="302"/>
      <c r="AJ34" s="47"/>
      <c r="AK34" s="308"/>
      <c r="AL34" s="302"/>
      <c r="AM34" s="37"/>
      <c r="AO34" s="47"/>
      <c r="AP34" s="308"/>
      <c r="AQ34" s="302"/>
    </row>
    <row r="35" spans="2:44" ht="32.5" hidden="1" customHeight="1">
      <c r="B35" s="556" t="str">
        <f t="shared" si="0"/>
        <v>B</v>
      </c>
      <c r="C35" s="557">
        <f t="shared" si="1"/>
        <v>2</v>
      </c>
      <c r="D35" s="558" t="s">
        <v>69</v>
      </c>
      <c r="E35" t="s">
        <v>64</v>
      </c>
      <c r="F35" s="269" t="s">
        <v>70</v>
      </c>
      <c r="G35" s="559"/>
      <c r="H35" s="29"/>
      <c r="I35" s="29"/>
      <c r="J35" s="29"/>
      <c r="K35" s="29"/>
      <c r="L35" s="29"/>
      <c r="M35" s="29"/>
      <c r="N35" s="29"/>
      <c r="O35" s="29"/>
      <c r="P35" s="33"/>
      <c r="Q35" s="308"/>
      <c r="R35" s="302"/>
      <c r="T35" s="29"/>
      <c r="U35" s="33"/>
      <c r="V35" s="308"/>
      <c r="W35" s="302"/>
      <c r="Y35" s="29"/>
      <c r="Z35" s="33"/>
      <c r="AA35" s="308"/>
      <c r="AB35" s="302"/>
      <c r="AC35" s="37"/>
      <c r="AE35" s="33"/>
      <c r="AF35" s="308"/>
      <c r="AG35" s="302"/>
      <c r="AJ35" s="33"/>
      <c r="AK35" s="308"/>
      <c r="AL35" s="302"/>
      <c r="AM35" s="37"/>
      <c r="AO35" s="33"/>
      <c r="AP35" s="308"/>
      <c r="AQ35" s="302"/>
    </row>
    <row r="36" spans="2:44" ht="30" customHeight="1">
      <c r="B36" s="826" t="s">
        <v>62</v>
      </c>
      <c r="C36" s="434">
        <v>3</v>
      </c>
      <c r="D36" s="435"/>
      <c r="E36" s="788" t="s">
        <v>625</v>
      </c>
      <c r="F36" s="263">
        <v>330</v>
      </c>
      <c r="G36" s="436">
        <f>'B 4.'!F38</f>
        <v>0</v>
      </c>
      <c r="H36" s="29"/>
      <c r="I36" s="29"/>
      <c r="J36" s="29"/>
      <c r="K36" s="29"/>
      <c r="L36" s="29"/>
      <c r="M36" s="29"/>
      <c r="N36" s="29"/>
      <c r="O36" s="29"/>
      <c r="P36" s="29"/>
      <c r="Q36" s="307"/>
      <c r="R36" s="302"/>
      <c r="T36" s="29"/>
      <c r="U36" s="29"/>
      <c r="V36" s="307"/>
      <c r="W36" s="302"/>
      <c r="Y36" s="29"/>
      <c r="Z36" s="29"/>
      <c r="AA36" s="307"/>
      <c r="AB36" s="302"/>
      <c r="AC36" s="37"/>
      <c r="AE36" s="29"/>
      <c r="AF36" s="307"/>
      <c r="AG36" s="302"/>
      <c r="AJ36" s="29"/>
      <c r="AK36" s="307"/>
      <c r="AL36" s="302"/>
      <c r="AM36" s="37"/>
      <c r="AO36" s="29"/>
      <c r="AP36" s="307"/>
      <c r="AQ36" s="302"/>
    </row>
    <row r="37" spans="2:44" ht="30" customHeight="1">
      <c r="B37" s="828" t="s">
        <v>62</v>
      </c>
      <c r="C37" s="825" t="s">
        <v>547</v>
      </c>
      <c r="D37" s="784"/>
      <c r="E37" s="788" t="s">
        <v>632</v>
      </c>
      <c r="F37" s="785">
        <v>330</v>
      </c>
      <c r="G37" s="436">
        <f>'B 4.'!F38</f>
        <v>0</v>
      </c>
      <c r="H37" s="29"/>
      <c r="I37" s="29"/>
      <c r="J37" s="29"/>
      <c r="K37" s="29"/>
      <c r="L37" s="29"/>
      <c r="M37" s="29"/>
      <c r="N37" s="29"/>
      <c r="O37" s="29"/>
      <c r="P37" s="29"/>
      <c r="Q37" s="786"/>
      <c r="R37" s="787"/>
      <c r="T37" s="29"/>
      <c r="U37" s="29"/>
      <c r="V37" s="786"/>
      <c r="W37" s="787"/>
      <c r="Y37" s="29"/>
      <c r="Z37" s="29"/>
      <c r="AA37" s="786"/>
      <c r="AB37" s="787"/>
      <c r="AC37" s="37"/>
      <c r="AE37" s="29"/>
      <c r="AF37" s="786"/>
      <c r="AG37" s="787"/>
      <c r="AJ37" s="29"/>
      <c r="AK37" s="786"/>
      <c r="AL37" s="787"/>
      <c r="AM37" s="37"/>
      <c r="AO37" s="29"/>
      <c r="AP37" s="786"/>
      <c r="AQ37" s="787"/>
    </row>
    <row r="38" spans="2:44" ht="29.5" customHeight="1">
      <c r="B38" s="827" t="str">
        <f t="shared" si="0"/>
        <v>B</v>
      </c>
      <c r="C38" s="438">
        <v>5</v>
      </c>
      <c r="D38" s="439"/>
      <c r="E38" s="730" t="s">
        <v>564</v>
      </c>
      <c r="F38" s="21">
        <v>10</v>
      </c>
      <c r="G38" s="440">
        <f>IF(ISNUMBER('B 5.'!D6),'B 5.'!D6,0)</f>
        <v>0</v>
      </c>
      <c r="H38" s="29"/>
      <c r="I38" s="29"/>
      <c r="J38" s="29"/>
      <c r="K38" s="29"/>
      <c r="L38" s="29"/>
      <c r="M38" s="29"/>
      <c r="N38" s="29"/>
      <c r="O38" s="29"/>
      <c r="P38" s="29"/>
      <c r="Q38" s="786"/>
      <c r="R38" s="787"/>
      <c r="T38" s="29"/>
      <c r="U38" s="29"/>
      <c r="V38" s="786"/>
      <c r="W38" s="787"/>
      <c r="Y38" s="29"/>
      <c r="Z38" s="29"/>
      <c r="AA38" s="786"/>
      <c r="AB38" s="787"/>
      <c r="AC38" s="37"/>
      <c r="AE38" s="29"/>
      <c r="AF38" s="786"/>
      <c r="AG38" s="787"/>
      <c r="AJ38" s="29"/>
      <c r="AK38" s="786"/>
      <c r="AL38" s="787"/>
      <c r="AM38" s="37"/>
      <c r="AO38" s="29"/>
      <c r="AP38" s="786"/>
      <c r="AQ38" s="787"/>
    </row>
    <row r="39" spans="2:44" ht="6" customHeight="1" thickBot="1">
      <c r="B39" s="5"/>
      <c r="C39" s="6"/>
      <c r="D39" s="36"/>
      <c r="E39" s="723"/>
      <c r="F39" s="208"/>
      <c r="G39" s="36"/>
      <c r="Q39" s="36"/>
      <c r="R39" s="302"/>
      <c r="V39" s="36"/>
      <c r="W39" s="302"/>
      <c r="AA39" s="36"/>
      <c r="AB39" s="302"/>
      <c r="AC39" s="37"/>
      <c r="AF39" s="36"/>
      <c r="AG39" s="302"/>
      <c r="AK39" s="36"/>
      <c r="AL39" s="302"/>
      <c r="AM39" s="37"/>
      <c r="AP39" s="36"/>
      <c r="AQ39" s="302"/>
    </row>
    <row r="40" spans="2:44" s="38" customFormat="1" ht="30" customHeight="1">
      <c r="B40" s="209" t="s">
        <v>71</v>
      </c>
      <c r="C40" s="210"/>
      <c r="D40" s="264"/>
      <c r="E40" s="211" t="s">
        <v>672</v>
      </c>
      <c r="F40" s="212">
        <v>125</v>
      </c>
      <c r="G40" s="213">
        <f>IF((G41+G42)&lt;F40,(G41+G42),F40)</f>
        <v>0</v>
      </c>
      <c r="H40" s="40"/>
      <c r="I40" s="40"/>
      <c r="J40" s="40"/>
      <c r="K40" s="40"/>
      <c r="L40" s="40"/>
      <c r="M40" s="40"/>
      <c r="N40" s="40"/>
      <c r="O40" s="40"/>
      <c r="P40" s="41"/>
      <c r="Q40" s="52"/>
      <c r="R40" s="26"/>
      <c r="T40" s="40"/>
      <c r="U40" s="41"/>
      <c r="V40" s="52"/>
      <c r="W40" s="26"/>
      <c r="Y40" s="40"/>
      <c r="Z40" s="41"/>
      <c r="AA40" s="52"/>
      <c r="AB40" s="26"/>
      <c r="AC40" s="42"/>
      <c r="AE40" s="41"/>
      <c r="AF40" s="52"/>
      <c r="AG40" s="26"/>
      <c r="AJ40" s="41"/>
      <c r="AK40" s="52"/>
      <c r="AL40" s="26"/>
      <c r="AM40" s="42"/>
      <c r="AO40" s="41"/>
      <c r="AP40" s="52"/>
      <c r="AQ40" s="26"/>
    </row>
    <row r="41" spans="2:44" ht="30" customHeight="1">
      <c r="B41" s="193" t="s">
        <v>71</v>
      </c>
      <c r="C41" s="194">
        <v>1</v>
      </c>
      <c r="D41" s="21"/>
      <c r="E41" s="831" t="s">
        <v>72</v>
      </c>
      <c r="F41" s="21">
        <v>75</v>
      </c>
      <c r="G41" s="207">
        <f>'C 1.'!C12</f>
        <v>0</v>
      </c>
      <c r="P41" s="47"/>
      <c r="Q41" s="46"/>
      <c r="R41" s="302"/>
      <c r="U41" s="47"/>
      <c r="V41" s="46"/>
      <c r="W41" s="302"/>
      <c r="Z41" s="47"/>
      <c r="AA41" s="46"/>
      <c r="AB41" s="302"/>
      <c r="AC41" s="37"/>
      <c r="AE41" s="47"/>
      <c r="AF41" s="46"/>
      <c r="AG41" s="302"/>
      <c r="AJ41" s="47"/>
      <c r="AK41" s="46"/>
      <c r="AL41" s="302"/>
      <c r="AM41" s="37"/>
      <c r="AO41" s="47"/>
      <c r="AP41" s="46"/>
      <c r="AQ41" s="302"/>
    </row>
    <row r="42" spans="2:44" ht="30" customHeight="1" thickBot="1">
      <c r="B42" s="221" t="s">
        <v>71</v>
      </c>
      <c r="C42" s="266">
        <v>2</v>
      </c>
      <c r="D42" s="829"/>
      <c r="E42" s="832" t="s">
        <v>73</v>
      </c>
      <c r="F42" s="830">
        <v>70</v>
      </c>
      <c r="G42" s="215">
        <f>'C 2.'!D14</f>
        <v>0</v>
      </c>
      <c r="P42" s="47"/>
      <c r="Q42" s="54"/>
      <c r="R42" s="302"/>
      <c r="U42" s="47"/>
      <c r="V42" s="54"/>
      <c r="W42" s="302"/>
      <c r="Z42" s="47"/>
      <c r="AA42" s="54"/>
      <c r="AB42" s="302"/>
      <c r="AC42" s="37"/>
      <c r="AE42" s="47"/>
      <c r="AF42" s="54"/>
      <c r="AG42" s="302"/>
      <c r="AJ42" s="47"/>
      <c r="AK42" s="54"/>
      <c r="AL42" s="302"/>
      <c r="AM42" s="37"/>
      <c r="AO42" s="47"/>
      <c r="AP42" s="54"/>
      <c r="AQ42" s="302"/>
    </row>
    <row r="43" spans="2:44" ht="6" customHeight="1" thickBot="1">
      <c r="B43" s="1"/>
      <c r="C43" s="2"/>
      <c r="D43" s="2"/>
      <c r="E43" s="724"/>
      <c r="F43" s="1"/>
      <c r="G43" s="1"/>
      <c r="Q43" s="36"/>
      <c r="R43" s="302"/>
      <c r="V43" s="36"/>
      <c r="W43" s="302"/>
      <c r="AA43" s="36"/>
      <c r="AB43" s="302"/>
      <c r="AC43" s="37"/>
      <c r="AF43" s="36"/>
      <c r="AG43" s="302"/>
      <c r="AK43" s="36"/>
      <c r="AL43" s="302"/>
      <c r="AM43" s="37"/>
      <c r="AP43" s="36"/>
      <c r="AQ43" s="302"/>
    </row>
    <row r="44" spans="2:44" s="38" customFormat="1" ht="30" customHeight="1">
      <c r="B44" s="216" t="s">
        <v>74</v>
      </c>
      <c r="C44" s="217"/>
      <c r="D44" s="265"/>
      <c r="E44" s="725" t="s">
        <v>633</v>
      </c>
      <c r="F44" s="455">
        <v>205</v>
      </c>
      <c r="G44" s="218">
        <f>IF((G45+G46)&lt;F44,(G45+G46),F44)</f>
        <v>0</v>
      </c>
      <c r="H44" s="55"/>
      <c r="I44" s="55"/>
      <c r="J44" s="55"/>
      <c r="K44" s="55"/>
      <c r="L44" s="55"/>
      <c r="M44" s="55"/>
      <c r="N44" s="55"/>
      <c r="O44" s="55"/>
      <c r="P44" s="55"/>
      <c r="Q44" s="56"/>
      <c r="R44" s="26"/>
      <c r="T44" s="40"/>
      <c r="U44" s="41"/>
      <c r="V44" s="56"/>
      <c r="W44" s="26"/>
      <c r="Y44" s="40"/>
      <c r="Z44" s="41"/>
      <c r="AA44" s="56"/>
      <c r="AB44" s="26"/>
      <c r="AC44" s="42"/>
      <c r="AE44" s="41"/>
      <c r="AF44" s="56"/>
      <c r="AG44" s="26"/>
      <c r="AJ44" s="41"/>
      <c r="AK44" s="56"/>
      <c r="AL44" s="26"/>
      <c r="AM44" s="42"/>
      <c r="AO44" s="41"/>
      <c r="AP44" s="56"/>
      <c r="AQ44" s="26"/>
    </row>
    <row r="45" spans="2:44" ht="30" customHeight="1">
      <c r="B45" s="193" t="str">
        <f t="shared" ref="B45" si="2">B$44</f>
        <v>D</v>
      </c>
      <c r="C45" s="268">
        <v>1</v>
      </c>
      <c r="D45" s="269"/>
      <c r="E45" s="778" t="s">
        <v>695</v>
      </c>
      <c r="F45" s="21">
        <v>175</v>
      </c>
      <c r="G45" s="53">
        <f>'D '!B8</f>
        <v>0</v>
      </c>
      <c r="Q45" s="57"/>
      <c r="R45" s="302"/>
      <c r="U45" s="47"/>
      <c r="V45" s="57"/>
      <c r="W45" s="302"/>
      <c r="Z45" s="47"/>
      <c r="AA45" s="57"/>
      <c r="AB45" s="302"/>
      <c r="AC45" s="37"/>
      <c r="AE45" s="47"/>
      <c r="AF45" s="57"/>
      <c r="AG45" s="302"/>
      <c r="AJ45" s="47"/>
      <c r="AK45" s="57"/>
      <c r="AL45" s="302"/>
      <c r="AM45" s="37"/>
      <c r="AO45" s="47"/>
      <c r="AP45" s="57"/>
      <c r="AQ45" s="302"/>
    </row>
    <row r="46" spans="2:44" ht="30" customHeight="1" thickBot="1">
      <c r="B46" s="267" t="s">
        <v>74</v>
      </c>
      <c r="C46" s="266">
        <v>2</v>
      </c>
      <c r="D46" s="214"/>
      <c r="E46" s="731" t="s">
        <v>673</v>
      </c>
      <c r="F46" s="313">
        <v>55</v>
      </c>
      <c r="G46" s="219">
        <f>'D '!B13</f>
        <v>0</v>
      </c>
      <c r="Q46" s="58"/>
      <c r="R46" s="302"/>
      <c r="V46" s="58"/>
      <c r="W46" s="300"/>
      <c r="X46" s="37"/>
      <c r="AA46" s="58"/>
      <c r="AB46" s="304"/>
      <c r="AF46" s="58"/>
      <c r="AG46" s="300"/>
      <c r="AH46" s="37"/>
      <c r="AK46" s="58"/>
      <c r="AL46" s="304"/>
      <c r="AP46" s="58"/>
      <c r="AQ46" s="300"/>
      <c r="AR46" s="37"/>
    </row>
    <row r="47" spans="2:44" ht="30" customHeight="1" thickBot="1">
      <c r="B47" s="5"/>
      <c r="C47" s="257"/>
      <c r="D47" s="13"/>
      <c r="E47" s="310" t="s">
        <v>46</v>
      </c>
      <c r="F47" s="311">
        <v>1000</v>
      </c>
      <c r="G47" s="312">
        <f>F8</f>
        <v>0</v>
      </c>
      <c r="Q47" s="60"/>
      <c r="R47" s="302"/>
      <c r="V47" s="60"/>
      <c r="W47" s="300"/>
      <c r="AA47" s="60"/>
      <c r="AB47" s="300"/>
      <c r="AF47" s="60"/>
      <c r="AG47" s="300"/>
      <c r="AK47" s="60"/>
      <c r="AL47" s="300"/>
      <c r="AP47" s="60"/>
      <c r="AQ47" s="300"/>
    </row>
    <row r="48" spans="2:44" ht="15.5">
      <c r="B48" s="5"/>
      <c r="C48" s="257"/>
      <c r="D48" s="13"/>
      <c r="E48" s="61"/>
      <c r="F48" s="5"/>
    </row>
    <row r="49" spans="5:5" ht="15.5">
      <c r="E49" s="61"/>
    </row>
    <row r="50" spans="5:5" ht="15.5">
      <c r="E50" s="61"/>
    </row>
    <row r="51" spans="5:5" ht="15.5">
      <c r="E51" s="61"/>
    </row>
    <row r="52" spans="5:5" ht="15.5">
      <c r="E52" s="61"/>
    </row>
    <row r="53" spans="5:5" ht="15.5">
      <c r="E53" s="61"/>
    </row>
  </sheetData>
  <sheetProtection algorithmName="SHA-512" hashValue="r3NwxWENcFj6ieSOQCPlYUYC5NzXqtFWrT8l0ecUSpiEQV+MvOlylUN0t73sLatFnu1JnXfpZzzCJ2tTKTAAyw==" saltValue="Vl/u/MhKFkGM5INnQ+1X8g==" spinCount="100000" sheet="1" objects="1" scenarios="1"/>
  <protectedRanges>
    <protectedRange sqref="G35" name="Bereich5"/>
    <protectedRange sqref="G28" name="Bereich4"/>
    <protectedRange sqref="R8:R46" name="Bereich3"/>
    <protectedRange sqref="C3" name="Bereich2"/>
    <protectedRange sqref="G12:G13" name="Bereich1"/>
  </protectedRanges>
  <mergeCells count="13">
    <mergeCell ref="B1:G1"/>
    <mergeCell ref="B9:D10"/>
    <mergeCell ref="E9:E10"/>
    <mergeCell ref="F8:G8"/>
    <mergeCell ref="C3:G3"/>
    <mergeCell ref="B5:D5"/>
    <mergeCell ref="AD3:AD4"/>
    <mergeCell ref="AI3:AI4"/>
    <mergeCell ref="AN3:AN4"/>
    <mergeCell ref="J3:J7"/>
    <mergeCell ref="O3:O4"/>
    <mergeCell ref="T3:T4"/>
    <mergeCell ref="Y3:Y4"/>
  </mergeCells>
  <phoneticPr fontId="116" type="noConversion"/>
  <conditionalFormatting sqref="A30:D32 H30:P39 R30:R39 T30:U39 W30:Z39 AB30:AE39 AG30:AJ39 AL30:AO39 AQ30:IU39 A33:A39 G36:G37 F39:G39 H45:P45">
    <cfRule type="expression" dxfId="55" priority="56" stopIfTrue="1">
      <formula>#REF!="n"</formula>
    </cfRule>
  </conditionalFormatting>
  <conditionalFormatting sqref="A12:E19">
    <cfRule type="expression" dxfId="54" priority="10" stopIfTrue="1">
      <formula>#REF!="n"</formula>
    </cfRule>
  </conditionalFormatting>
  <conditionalFormatting sqref="A45:F46">
    <cfRule type="expression" dxfId="53" priority="8" stopIfTrue="1">
      <formula>#REF!="n"</formula>
    </cfRule>
  </conditionalFormatting>
  <conditionalFormatting sqref="B38:E38">
    <cfRule type="expression" dxfId="52" priority="1" stopIfTrue="1">
      <formula>#REF!="n"</formula>
    </cfRule>
  </conditionalFormatting>
  <conditionalFormatting sqref="E23:E26">
    <cfRule type="expression" dxfId="51" priority="6" stopIfTrue="1">
      <formula>#REF!="n"</formula>
    </cfRule>
  </conditionalFormatting>
  <conditionalFormatting sqref="E30:E33">
    <cfRule type="expression" dxfId="50" priority="5" stopIfTrue="1">
      <formula>#REF!="n"</formula>
    </cfRule>
  </conditionalFormatting>
  <conditionalFormatting sqref="E41:F42">
    <cfRule type="expression" dxfId="49" priority="7" stopIfTrue="1">
      <formula>#REF!="n"</formula>
    </cfRule>
  </conditionalFormatting>
  <conditionalFormatting sqref="F12 F15:F19">
    <cfRule type="expression" dxfId="48" priority="53" stopIfTrue="1">
      <formula>#REF!="n"</formula>
    </cfRule>
  </conditionalFormatting>
  <conditionalFormatting sqref="F23:F28">
    <cfRule type="expression" dxfId="47" priority="17" stopIfTrue="1">
      <formula>#REF!="n"</formula>
    </cfRule>
  </conditionalFormatting>
  <conditionalFormatting sqref="F30:F38">
    <cfRule type="expression" dxfId="46" priority="3" stopIfTrue="1">
      <formula>#REF!="n"</formula>
    </cfRule>
  </conditionalFormatting>
  <conditionalFormatting sqref="H11:I11">
    <cfRule type="expression" dxfId="45" priority="4" stopIfTrue="1">
      <formula>#REF!="n"</formula>
    </cfRule>
  </conditionalFormatting>
  <conditionalFormatting sqref="H12:K12">
    <cfRule type="expression" dxfId="44" priority="62" stopIfTrue="1">
      <formula>#REF!="n"</formula>
    </cfRule>
  </conditionalFormatting>
  <conditionalFormatting sqref="J29">
    <cfRule type="expression" dxfId="43" priority="60" stopIfTrue="1">
      <formula>#REF!="n"</formula>
    </cfRule>
  </conditionalFormatting>
  <conditionalFormatting sqref="N12:P12 H13:P19 AD13:AD19 F22:G22 B22:D28 H28:P28 F29:G29 B33:D35 C39:D39 A41:D41 H41:P41 D42">
    <cfRule type="expression" dxfId="42" priority="90" stopIfTrue="1">
      <formula>#REF!="n"</formula>
    </cfRule>
  </conditionalFormatting>
  <conditionalFormatting sqref="Q22 Q29">
    <cfRule type="expression" dxfId="41" priority="47" stopIfTrue="1">
      <formula>#REF!="n"</formula>
    </cfRule>
  </conditionalFormatting>
  <conditionalFormatting sqref="Q36:Q39">
    <cfRule type="expression" dxfId="40" priority="29" stopIfTrue="1">
      <formula>#REF!="n"</formula>
    </cfRule>
  </conditionalFormatting>
  <conditionalFormatting sqref="R12:R19">
    <cfRule type="expression" dxfId="39" priority="48" stopIfTrue="1">
      <formula>#REF!="n"</formula>
    </cfRule>
  </conditionalFormatting>
  <conditionalFormatting sqref="R41 R45:R47">
    <cfRule type="expression" dxfId="38" priority="46" stopIfTrue="1">
      <formula>#REF!="n"</formula>
    </cfRule>
  </conditionalFormatting>
  <conditionalFormatting sqref="T12:U19 T41:U41 T45:U46">
    <cfRule type="expression" dxfId="37" priority="50" stopIfTrue="1">
      <formula>#REF!="n"</formula>
    </cfRule>
  </conditionalFormatting>
  <conditionalFormatting sqref="T28:U28">
    <cfRule type="expression" dxfId="36" priority="67" stopIfTrue="1">
      <formula>#REF!="n"</formula>
    </cfRule>
  </conditionalFormatting>
  <conditionalFormatting sqref="V22 V29">
    <cfRule type="expression" dxfId="35" priority="28" stopIfTrue="1">
      <formula>#REF!="n"</formula>
    </cfRule>
  </conditionalFormatting>
  <conditionalFormatting sqref="V36:V39">
    <cfRule type="expression" dxfId="34" priority="27" stopIfTrue="1">
      <formula>#REF!="n"</formula>
    </cfRule>
  </conditionalFormatting>
  <conditionalFormatting sqref="W12:Z19 AB12:AC19 AE12:AE19 AG12:AJ19 AL12:AO19">
    <cfRule type="expression" dxfId="33" priority="78" stopIfTrue="1">
      <formula>#REF!="n"</formula>
    </cfRule>
  </conditionalFormatting>
  <conditionalFormatting sqref="Y28:Z28 W41:Z41 W45:Z46">
    <cfRule type="expression" dxfId="32" priority="66" stopIfTrue="1">
      <formula>#REF!="n"</formula>
    </cfRule>
  </conditionalFormatting>
  <conditionalFormatting sqref="AA22 AA29">
    <cfRule type="expression" dxfId="31" priority="26" stopIfTrue="1">
      <formula>#REF!="n"</formula>
    </cfRule>
  </conditionalFormatting>
  <conditionalFormatting sqref="AA36:AA39">
    <cfRule type="expression" dxfId="30" priority="25" stopIfTrue="1">
      <formula>#REF!="n"</formula>
    </cfRule>
  </conditionalFormatting>
  <conditionalFormatting sqref="AE28 AB41:AE41 AB45:AE46">
    <cfRule type="expression" dxfId="29" priority="65" stopIfTrue="1">
      <formula>#REF!="n"</formula>
    </cfRule>
  </conditionalFormatting>
  <conditionalFormatting sqref="AF22 AF29">
    <cfRule type="expression" dxfId="28" priority="24" stopIfTrue="1">
      <formula>#REF!="n"</formula>
    </cfRule>
  </conditionalFormatting>
  <conditionalFormatting sqref="AF36:AF39">
    <cfRule type="expression" dxfId="27" priority="23" stopIfTrue="1">
      <formula>#REF!="n"</formula>
    </cfRule>
  </conditionalFormatting>
  <conditionalFormatting sqref="AJ28 AG41:AJ41 AG45:AJ46">
    <cfRule type="expression" dxfId="26" priority="64" stopIfTrue="1">
      <formula>#REF!="n"</formula>
    </cfRule>
  </conditionalFormatting>
  <conditionalFormatting sqref="AK22 AK29">
    <cfRule type="expression" dxfId="25" priority="22" stopIfTrue="1">
      <formula>#REF!="n"</formula>
    </cfRule>
  </conditionalFormatting>
  <conditionalFormatting sqref="AK36:AK39">
    <cfRule type="expression" dxfId="24" priority="21" stopIfTrue="1">
      <formula>#REF!="n"</formula>
    </cfRule>
  </conditionalFormatting>
  <conditionalFormatting sqref="AO28 AL41:AO41 AL45:AO46">
    <cfRule type="expression" dxfId="23" priority="63" stopIfTrue="1">
      <formula>#REF!="n"</formula>
    </cfRule>
  </conditionalFormatting>
  <conditionalFormatting sqref="AP22 AP29">
    <cfRule type="expression" dxfId="22" priority="20" stopIfTrue="1">
      <formula>#REF!="n"</formula>
    </cfRule>
  </conditionalFormatting>
  <conditionalFormatting sqref="AP36:AP39">
    <cfRule type="expression" dxfId="21" priority="19" stopIfTrue="1">
      <formula>#REF!="n"</formula>
    </cfRule>
  </conditionalFormatting>
  <conditionalFormatting sqref="AQ12:IU18 AQ19:AT19 AV19:IU19">
    <cfRule type="expression" dxfId="20" priority="57" stopIfTrue="1">
      <formula>#REF!="n"</formula>
    </cfRule>
  </conditionalFormatting>
  <conditionalFormatting sqref="AQ41:IU41 AQ45:IU46">
    <cfRule type="expression" dxfId="19" priority="69" stopIfTrue="1">
      <formula>#REF!="n"</formula>
    </cfRule>
  </conditionalFormatting>
  <dataValidations xWindow="1040" yWindow="602" count="4">
    <dataValidation type="list" allowBlank="1" showInputMessage="1" showErrorMessage="1" sqref="E5" xr:uid="{00000000-0002-0000-0100-000001000000}">
      <formula1>$H$21:$H$22</formula1>
    </dataValidation>
    <dataValidation type="list" allowBlank="1" showInputMessage="1" showErrorMessage="1" sqref="G12" xr:uid="{4BDA3457-3425-4604-A734-1E7801E39DB2}">
      <formula1>$H$10:$H$13</formula1>
    </dataValidation>
    <dataValidation type="list" allowBlank="1" showInputMessage="1" showErrorMessage="1" sqref="G13" xr:uid="{57739E92-895F-4304-B556-754669E853C0}">
      <formula1>$I$11:$I$15</formula1>
    </dataValidation>
    <dataValidation type="list" allowBlank="1" showInputMessage="1" showErrorMessage="1" sqref="G28 G35" xr:uid="{BDEE18D3-DAEF-4680-B972-2C153C6C7F3C}">
      <formula1>$I$28:$I$29</formula1>
    </dataValidation>
  </dataValidations>
  <pageMargins left="0.39370078740157483" right="0.39370078740157483" top="0.39370078740157483" bottom="0.39370078740157483" header="0.31496062992125984" footer="0.31496062992125984"/>
  <pageSetup paperSize="8" scale="8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6EC72-1099-4E4C-810F-2F51753D2DFB}">
  <sheetPr>
    <pageSetUpPr fitToPage="1"/>
  </sheetPr>
  <dimension ref="A1:L55"/>
  <sheetViews>
    <sheetView topLeftCell="A6" zoomScale="80" zoomScaleNormal="80" workbookViewId="0">
      <selection activeCell="F6" sqref="F6"/>
    </sheetView>
  </sheetViews>
  <sheetFormatPr baseColWidth="10" defaultColWidth="11.36328125" defaultRowHeight="12.5"/>
  <cols>
    <col min="1" max="1" width="86.36328125" style="98" customWidth="1"/>
    <col min="2" max="3" width="17.36328125" style="98" customWidth="1"/>
    <col min="4" max="4" width="18.7265625" style="101" customWidth="1"/>
    <col min="5" max="5" width="19.81640625" style="98" customWidth="1"/>
    <col min="6" max="6" width="15.81640625" style="295" customWidth="1"/>
    <col min="7" max="7" width="11.08984375" style="250" hidden="1" customWidth="1"/>
    <col min="8" max="8" width="11.08984375" style="98" hidden="1" customWidth="1"/>
    <col min="9" max="10" width="23.81640625" style="98" customWidth="1"/>
    <col min="11" max="11" width="24.6328125" style="98" customWidth="1"/>
    <col min="12" max="12" width="21.81640625" style="98" hidden="1" customWidth="1"/>
    <col min="13" max="16384" width="11.36328125" style="98"/>
  </cols>
  <sheetData>
    <row r="1" spans="1:12" ht="42.75" customHeight="1">
      <c r="A1" s="1322" t="s">
        <v>696</v>
      </c>
      <c r="B1" s="1322"/>
      <c r="C1" s="1322"/>
      <c r="D1" s="1322"/>
      <c r="E1" s="1322"/>
      <c r="F1" s="1322"/>
      <c r="G1" s="1322"/>
    </row>
    <row r="2" spans="1:12" ht="7.5" customHeight="1">
      <c r="A2" s="99"/>
      <c r="B2" s="99"/>
      <c r="C2" s="99"/>
      <c r="D2" s="100"/>
    </row>
    <row r="3" spans="1:12" ht="7.5" customHeight="1" thickBot="1">
      <c r="A3" s="99"/>
      <c r="B3" s="99"/>
      <c r="C3" s="99"/>
      <c r="D3" s="100"/>
    </row>
    <row r="4" spans="1:12" ht="39.75" customHeight="1" thickBot="1">
      <c r="A4" s="833" t="s">
        <v>697</v>
      </c>
      <c r="B4" s="1323" t="s">
        <v>573</v>
      </c>
      <c r="C4" s="1324"/>
      <c r="D4" s="1324"/>
      <c r="E4" s="1324"/>
      <c r="F4" s="764" t="s">
        <v>162</v>
      </c>
      <c r="G4" s="98"/>
      <c r="I4" s="839" t="s">
        <v>53</v>
      </c>
      <c r="J4" s="250"/>
      <c r="L4" s="101">
        <v>0</v>
      </c>
    </row>
    <row r="5" spans="1:12" s="101" customFormat="1" ht="33" customHeight="1" thickBot="1">
      <c r="A5" s="1272" t="s">
        <v>602</v>
      </c>
      <c r="B5" s="1273"/>
      <c r="C5" s="1273"/>
      <c r="D5" s="1273"/>
      <c r="E5" s="1274"/>
      <c r="F5" s="900"/>
      <c r="G5" s="101">
        <v>0</v>
      </c>
      <c r="H5" s="101">
        <v>10</v>
      </c>
      <c r="I5" s="1294"/>
      <c r="J5" s="926"/>
      <c r="L5" s="101">
        <v>5</v>
      </c>
    </row>
    <row r="6" spans="1:12" s="101" customFormat="1" ht="31" customHeight="1" thickBot="1">
      <c r="A6" s="927" t="s">
        <v>723</v>
      </c>
      <c r="B6" s="1328">
        <v>10</v>
      </c>
      <c r="C6" s="1329"/>
      <c r="D6" s="1329"/>
      <c r="E6" s="1330"/>
      <c r="F6" s="797"/>
      <c r="G6" s="105"/>
      <c r="H6" s="105"/>
      <c r="I6" s="1295"/>
      <c r="J6" s="763"/>
      <c r="L6" s="101">
        <v>10</v>
      </c>
    </row>
    <row r="7" spans="1:12" s="101" customFormat="1" ht="33" customHeight="1" thickBot="1">
      <c r="A7" s="913" t="s">
        <v>603</v>
      </c>
      <c r="B7" s="1298" t="s">
        <v>572</v>
      </c>
      <c r="C7" s="1298"/>
      <c r="D7" s="978" t="s">
        <v>590</v>
      </c>
      <c r="E7" s="979" t="s">
        <v>591</v>
      </c>
      <c r="F7" s="762"/>
      <c r="G7" s="105"/>
      <c r="H7" s="105"/>
      <c r="I7" s="1294"/>
      <c r="J7" s="891"/>
      <c r="L7" s="101">
        <v>15</v>
      </c>
    </row>
    <row r="8" spans="1:12" s="101" customFormat="1" ht="75" customHeight="1">
      <c r="A8" s="977" t="s">
        <v>727</v>
      </c>
      <c r="B8" s="1299" t="s">
        <v>571</v>
      </c>
      <c r="C8" s="1300"/>
      <c r="D8" s="1303" t="s">
        <v>679</v>
      </c>
      <c r="E8" s="1306" t="s">
        <v>164</v>
      </c>
      <c r="F8" s="1309"/>
      <c r="H8" s="105"/>
      <c r="I8" s="1295"/>
      <c r="J8" s="891"/>
      <c r="L8" s="101">
        <v>20</v>
      </c>
    </row>
    <row r="9" spans="1:12" s="101" customFormat="1" ht="23" customHeight="1">
      <c r="A9" s="1296" t="s">
        <v>724</v>
      </c>
      <c r="B9" s="1301"/>
      <c r="C9" s="1301"/>
      <c r="D9" s="1304"/>
      <c r="E9" s="1307"/>
      <c r="F9" s="1310"/>
      <c r="G9" s="105"/>
      <c r="H9" s="105">
        <v>0</v>
      </c>
      <c r="I9" s="1294"/>
      <c r="J9" s="891"/>
      <c r="L9" s="101">
        <v>25</v>
      </c>
    </row>
    <row r="10" spans="1:12" s="101" customFormat="1" ht="128.25" customHeight="1" thickBot="1">
      <c r="A10" s="1297"/>
      <c r="B10" s="1302"/>
      <c r="C10" s="1302"/>
      <c r="D10" s="1305"/>
      <c r="E10" s="1308"/>
      <c r="F10" s="1311"/>
      <c r="G10" s="105"/>
      <c r="H10" s="105">
        <v>10</v>
      </c>
      <c r="I10" s="1295"/>
      <c r="J10" s="891"/>
      <c r="L10" s="101">
        <v>30</v>
      </c>
    </row>
    <row r="11" spans="1:12" s="101" customFormat="1" ht="34" customHeight="1" thickBot="1">
      <c r="A11" s="1272" t="s">
        <v>725</v>
      </c>
      <c r="B11" s="1273"/>
      <c r="C11" s="1273"/>
      <c r="D11" s="1273"/>
      <c r="E11" s="1274"/>
      <c r="F11" s="760"/>
      <c r="G11" s="105"/>
      <c r="H11" s="105">
        <v>20</v>
      </c>
      <c r="I11" s="1271"/>
      <c r="J11" s="756"/>
      <c r="L11" s="101">
        <v>35</v>
      </c>
    </row>
    <row r="12" spans="1:12" s="101" customFormat="1" ht="36" customHeight="1" thickBot="1">
      <c r="A12" s="928" t="s">
        <v>789</v>
      </c>
      <c r="B12" s="1275">
        <v>10</v>
      </c>
      <c r="C12" s="1275"/>
      <c r="D12" s="1275"/>
      <c r="E12" s="1267"/>
      <c r="F12" s="929"/>
      <c r="G12" s="105">
        <v>10</v>
      </c>
      <c r="H12" s="105">
        <v>30</v>
      </c>
      <c r="I12" s="1271"/>
      <c r="J12" s="756"/>
      <c r="L12" s="101">
        <v>40</v>
      </c>
    </row>
    <row r="13" spans="1:12" ht="33" customHeight="1" thickBot="1">
      <c r="A13" s="759" t="s">
        <v>122</v>
      </c>
      <c r="B13" s="758"/>
      <c r="C13" s="758"/>
      <c r="D13" s="930"/>
      <c r="E13" s="930"/>
      <c r="F13" s="735">
        <f>IF(SUM(F5:F12)&lt;90,SUM(F5:F12),90)</f>
        <v>0</v>
      </c>
      <c r="G13" s="98"/>
      <c r="I13" s="757"/>
      <c r="J13" s="756"/>
      <c r="L13" s="101">
        <v>45</v>
      </c>
    </row>
    <row r="14" spans="1:12">
      <c r="A14" s="931"/>
      <c r="L14" s="98">
        <v>50</v>
      </c>
    </row>
    <row r="15" spans="1:12" ht="16" thickBot="1">
      <c r="A15" s="737"/>
      <c r="B15" s="737"/>
      <c r="C15" s="100"/>
      <c r="D15" s="100"/>
      <c r="E15" s="100"/>
      <c r="F15" s="100"/>
      <c r="G15" s="755"/>
      <c r="H15" s="103"/>
      <c r="I15" s="737"/>
      <c r="J15" s="737"/>
      <c r="L15" s="98">
        <v>60</v>
      </c>
    </row>
    <row r="16" spans="1:12" ht="40" customHeight="1" thickBot="1">
      <c r="A16" s="754" t="s">
        <v>698</v>
      </c>
      <c r="B16" s="1331" t="s">
        <v>80</v>
      </c>
      <c r="C16" s="1324"/>
      <c r="D16" s="1332"/>
      <c r="E16" s="753" t="s">
        <v>606</v>
      </c>
      <c r="F16" s="738" t="s">
        <v>162</v>
      </c>
      <c r="G16" s="737"/>
      <c r="H16" s="737"/>
      <c r="I16" s="840" t="s">
        <v>53</v>
      </c>
      <c r="J16" s="103"/>
      <c r="L16" s="98">
        <v>70</v>
      </c>
    </row>
    <row r="17" spans="1:10" ht="30" customHeight="1">
      <c r="A17" s="1357" t="s">
        <v>592</v>
      </c>
      <c r="B17" s="1276" t="s">
        <v>728</v>
      </c>
      <c r="C17" s="1277"/>
      <c r="D17" s="1277"/>
      <c r="E17" s="1278">
        <v>5</v>
      </c>
      <c r="F17" s="1268"/>
      <c r="G17" s="737"/>
      <c r="H17" s="737">
        <v>0</v>
      </c>
      <c r="I17" s="747"/>
      <c r="J17" s="891"/>
    </row>
    <row r="18" spans="1:10" ht="41" customHeight="1">
      <c r="A18" s="1358"/>
      <c r="B18" s="1283" t="s">
        <v>379</v>
      </c>
      <c r="C18" s="1284"/>
      <c r="D18" s="1284"/>
      <c r="E18" s="1279"/>
      <c r="F18" s="1269"/>
      <c r="G18" s="737"/>
      <c r="H18" s="737">
        <v>5</v>
      </c>
      <c r="I18" s="747"/>
      <c r="J18" s="891"/>
    </row>
    <row r="19" spans="1:10" ht="30" customHeight="1">
      <c r="A19" s="1358"/>
      <c r="B19" s="1285" t="s">
        <v>730</v>
      </c>
      <c r="C19" s="1286"/>
      <c r="D19" s="1286"/>
      <c r="E19" s="1279"/>
      <c r="F19" s="1281"/>
      <c r="G19" s="737"/>
      <c r="H19" s="737"/>
      <c r="I19" s="747"/>
      <c r="J19" s="891"/>
    </row>
    <row r="20" spans="1:10" ht="30" customHeight="1" thickBot="1">
      <c r="A20" s="1358"/>
      <c r="B20" s="1287" t="s">
        <v>731</v>
      </c>
      <c r="C20" s="1288"/>
      <c r="D20" s="1288"/>
      <c r="E20" s="1280"/>
      <c r="F20" s="1282"/>
      <c r="G20" s="737"/>
      <c r="H20" s="737"/>
      <c r="I20" s="747"/>
      <c r="J20" s="891"/>
    </row>
    <row r="21" spans="1:10" ht="30" customHeight="1">
      <c r="A21" s="1358"/>
      <c r="B21" s="1276" t="s">
        <v>718</v>
      </c>
      <c r="C21" s="1277"/>
      <c r="D21" s="1277"/>
      <c r="E21" s="1278">
        <v>10</v>
      </c>
      <c r="F21" s="1268"/>
      <c r="G21" s="737">
        <v>0</v>
      </c>
      <c r="H21" s="737"/>
      <c r="I21" s="747"/>
      <c r="J21" s="891"/>
    </row>
    <row r="22" spans="1:10" ht="30" customHeight="1">
      <c r="A22" s="1358"/>
      <c r="B22" s="1291" t="s">
        <v>732</v>
      </c>
      <c r="C22" s="1292"/>
      <c r="D22" s="1293"/>
      <c r="E22" s="1279"/>
      <c r="F22" s="1269"/>
      <c r="G22" s="737">
        <v>10</v>
      </c>
      <c r="H22" s="737"/>
      <c r="I22" s="747"/>
      <c r="J22" s="891"/>
    </row>
    <row r="23" spans="1:10" ht="30" customHeight="1" thickBot="1">
      <c r="A23" s="1358"/>
      <c r="B23" s="1289" t="s">
        <v>733</v>
      </c>
      <c r="C23" s="1290"/>
      <c r="D23" s="1290"/>
      <c r="E23" s="1280"/>
      <c r="F23" s="1270"/>
      <c r="H23" s="737"/>
      <c r="I23" s="747"/>
      <c r="J23" s="891"/>
    </row>
    <row r="24" spans="1:10" ht="30" customHeight="1">
      <c r="A24" s="1358"/>
      <c r="B24" s="1379" t="s">
        <v>719</v>
      </c>
      <c r="C24" s="1380"/>
      <c r="D24" s="1380"/>
      <c r="E24" s="1380"/>
      <c r="F24" s="1381"/>
      <c r="G24" s="737">
        <v>0</v>
      </c>
      <c r="H24" s="737"/>
      <c r="I24" s="747"/>
      <c r="J24" s="891"/>
    </row>
    <row r="25" spans="1:10" ht="30" customHeight="1">
      <c r="A25" s="1358"/>
      <c r="B25" s="1350" t="s">
        <v>734</v>
      </c>
      <c r="C25" s="1351"/>
      <c r="D25" s="1352"/>
      <c r="E25" s="768">
        <v>5</v>
      </c>
      <c r="F25" s="834"/>
      <c r="G25" s="737">
        <v>5</v>
      </c>
      <c r="H25" s="737"/>
      <c r="I25" s="747"/>
      <c r="J25" s="891"/>
    </row>
    <row r="26" spans="1:10" ht="30" customHeight="1" thickBot="1">
      <c r="A26" s="1359"/>
      <c r="B26" s="1367" t="s">
        <v>735</v>
      </c>
      <c r="C26" s="1368"/>
      <c r="D26" s="1368"/>
      <c r="E26" s="932">
        <v>5</v>
      </c>
      <c r="F26" s="835"/>
      <c r="G26" s="737">
        <v>0</v>
      </c>
      <c r="H26" s="737"/>
      <c r="I26" s="747"/>
      <c r="J26" s="891"/>
    </row>
    <row r="27" spans="1:10" ht="30" customHeight="1">
      <c r="A27" s="1357" t="s">
        <v>790</v>
      </c>
      <c r="B27" s="1363" t="s">
        <v>736</v>
      </c>
      <c r="C27" s="1364"/>
      <c r="D27" s="1364"/>
      <c r="E27" s="1320">
        <v>5</v>
      </c>
      <c r="F27" s="1318"/>
      <c r="G27" s="934">
        <v>0</v>
      </c>
      <c r="H27" s="737"/>
      <c r="I27" s="935"/>
      <c r="J27" s="936"/>
    </row>
    <row r="28" spans="1:10" ht="30" customHeight="1" thickBot="1">
      <c r="A28" s="1359"/>
      <c r="B28" s="1365"/>
      <c r="C28" s="1366"/>
      <c r="D28" s="1366"/>
      <c r="E28" s="1321"/>
      <c r="F28" s="1319"/>
      <c r="G28" s="934">
        <v>5</v>
      </c>
      <c r="H28" s="737"/>
      <c r="I28" s="935"/>
      <c r="J28" s="936"/>
    </row>
    <row r="29" spans="1:10" ht="30" customHeight="1">
      <c r="A29" s="1386" t="s">
        <v>720</v>
      </c>
      <c r="B29" s="1312" t="s">
        <v>593</v>
      </c>
      <c r="C29" s="1313"/>
      <c r="D29" s="1313"/>
      <c r="E29" s="1316">
        <v>10</v>
      </c>
      <c r="F29" s="1318"/>
      <c r="G29" s="934">
        <v>0</v>
      </c>
      <c r="H29" s="737"/>
      <c r="I29" s="937"/>
      <c r="J29" s="936"/>
    </row>
    <row r="30" spans="1:10" ht="30" customHeight="1" thickBot="1">
      <c r="A30" s="1387"/>
      <c r="B30" s="1314"/>
      <c r="C30" s="1315"/>
      <c r="D30" s="1315"/>
      <c r="E30" s="1317"/>
      <c r="F30" s="1319"/>
      <c r="G30" s="938">
        <v>10</v>
      </c>
      <c r="H30" s="737"/>
      <c r="I30" s="935"/>
      <c r="J30" s="936"/>
    </row>
    <row r="31" spans="1:10" ht="30" customHeight="1">
      <c r="A31" s="1371" t="s">
        <v>594</v>
      </c>
      <c r="B31" s="1353" t="s">
        <v>776</v>
      </c>
      <c r="C31" s="1354"/>
      <c r="D31" s="1354"/>
      <c r="E31" s="1265">
        <v>5</v>
      </c>
      <c r="F31" s="1268"/>
      <c r="G31" s="737">
        <v>5</v>
      </c>
      <c r="H31" s="737"/>
      <c r="I31" s="747"/>
      <c r="J31" s="891"/>
    </row>
    <row r="32" spans="1:10" ht="30" customHeight="1">
      <c r="A32" s="1372"/>
      <c r="B32" s="1262" t="s">
        <v>737</v>
      </c>
      <c r="C32" s="1263"/>
      <c r="D32" s="1264"/>
      <c r="E32" s="1266"/>
      <c r="F32" s="1269"/>
      <c r="G32" s="737"/>
      <c r="H32" s="737"/>
      <c r="I32" s="939"/>
      <c r="J32" s="891"/>
    </row>
    <row r="33" spans="1:10" ht="30" customHeight="1" thickBot="1">
      <c r="A33" s="1372"/>
      <c r="B33" s="1259" t="s">
        <v>738</v>
      </c>
      <c r="C33" s="1260"/>
      <c r="D33" s="1261"/>
      <c r="E33" s="1267"/>
      <c r="F33" s="1270"/>
      <c r="G33" s="737"/>
      <c r="H33" s="737"/>
      <c r="I33" s="939"/>
      <c r="J33" s="891"/>
    </row>
    <row r="34" spans="1:10" ht="30" customHeight="1">
      <c r="A34" s="1374"/>
      <c r="B34" s="1276" t="s">
        <v>742</v>
      </c>
      <c r="C34" s="1360"/>
      <c r="D34" s="1360"/>
      <c r="E34" s="1265">
        <v>5</v>
      </c>
      <c r="F34" s="1268"/>
      <c r="G34" s="737">
        <v>0</v>
      </c>
      <c r="H34" s="737"/>
      <c r="I34" s="747"/>
      <c r="J34" s="891"/>
    </row>
    <row r="35" spans="1:10" ht="30" customHeight="1" thickBot="1">
      <c r="A35" s="1374"/>
      <c r="B35" s="1259" t="s">
        <v>740</v>
      </c>
      <c r="C35" s="1260"/>
      <c r="D35" s="1261"/>
      <c r="E35" s="1267"/>
      <c r="F35" s="1270"/>
      <c r="G35" s="737">
        <v>3</v>
      </c>
      <c r="H35" s="737"/>
      <c r="I35" s="747"/>
      <c r="J35" s="891"/>
    </row>
    <row r="36" spans="1:10" ht="30" customHeight="1" thickBot="1">
      <c r="A36" s="1375"/>
      <c r="B36" s="1361" t="s">
        <v>595</v>
      </c>
      <c r="C36" s="1362"/>
      <c r="D36" s="1362"/>
      <c r="E36" s="1066">
        <v>3</v>
      </c>
      <c r="F36" s="1067"/>
      <c r="H36" s="737"/>
      <c r="I36" s="747"/>
      <c r="J36" s="891"/>
    </row>
    <row r="37" spans="1:10" ht="42" customHeight="1" thickBot="1">
      <c r="A37" s="1099" t="s">
        <v>596</v>
      </c>
      <c r="B37" s="1376" t="s">
        <v>597</v>
      </c>
      <c r="C37" s="1377"/>
      <c r="D37" s="1378"/>
      <c r="E37" s="940">
        <v>5</v>
      </c>
      <c r="F37" s="892"/>
      <c r="G37" s="737"/>
      <c r="H37" s="737"/>
      <c r="I37" s="747"/>
      <c r="J37" s="891"/>
    </row>
    <row r="38" spans="1:10" ht="61" customHeight="1">
      <c r="A38" s="1371" t="s">
        <v>690</v>
      </c>
      <c r="B38" s="1335" t="s">
        <v>743</v>
      </c>
      <c r="C38" s="1336"/>
      <c r="D38" s="1337"/>
      <c r="E38" s="1382" t="s">
        <v>598</v>
      </c>
      <c r="F38" s="1383"/>
      <c r="G38" s="105">
        <v>0</v>
      </c>
      <c r="H38" s="105">
        <v>0</v>
      </c>
      <c r="I38" s="1257"/>
      <c r="J38" s="891"/>
    </row>
    <row r="39" spans="1:10" ht="8.25" customHeight="1" thickBot="1">
      <c r="A39" s="1372"/>
      <c r="B39" s="1289"/>
      <c r="C39" s="1290"/>
      <c r="D39" s="1338"/>
      <c r="E39" s="1384"/>
      <c r="F39" s="1385"/>
      <c r="G39" s="105">
        <v>8</v>
      </c>
      <c r="H39" s="105">
        <v>4</v>
      </c>
      <c r="I39" s="1258"/>
      <c r="J39" s="891"/>
    </row>
    <row r="40" spans="1:10" ht="37.5" customHeight="1" thickBot="1">
      <c r="A40" s="1372"/>
      <c r="B40" s="1339" t="s">
        <v>681</v>
      </c>
      <c r="C40" s="1340"/>
      <c r="D40" s="1340"/>
      <c r="E40" s="1101">
        <v>8</v>
      </c>
      <c r="F40" s="1102"/>
      <c r="G40" s="105">
        <v>0</v>
      </c>
      <c r="H40" s="105">
        <v>0</v>
      </c>
      <c r="I40" s="747"/>
      <c r="J40" s="891"/>
    </row>
    <row r="41" spans="1:10" ht="37.5" customHeight="1" thickBot="1">
      <c r="A41" s="1372"/>
      <c r="B41" s="1341" t="s">
        <v>599</v>
      </c>
      <c r="C41" s="1340"/>
      <c r="D41" s="1340"/>
      <c r="E41" s="1101">
        <v>3</v>
      </c>
      <c r="F41" s="1102"/>
      <c r="G41" s="105">
        <v>3</v>
      </c>
      <c r="H41" s="105">
        <v>5</v>
      </c>
      <c r="I41" s="747"/>
      <c r="J41" s="891"/>
    </row>
    <row r="42" spans="1:10" ht="37.5" customHeight="1" thickBot="1">
      <c r="A42" s="1372"/>
      <c r="B42" s="1341" t="s">
        <v>165</v>
      </c>
      <c r="C42" s="1342"/>
      <c r="D42" s="1342"/>
      <c r="E42" s="1101">
        <v>4</v>
      </c>
      <c r="F42" s="1102"/>
      <c r="G42" s="105"/>
      <c r="H42" s="105"/>
      <c r="I42" s="747"/>
      <c r="J42" s="891"/>
    </row>
    <row r="43" spans="1:10" ht="61" customHeight="1" thickBot="1">
      <c r="A43" s="1373"/>
      <c r="B43" s="1369" t="s">
        <v>600</v>
      </c>
      <c r="C43" s="1370"/>
      <c r="D43" s="1370"/>
      <c r="E43" s="1103">
        <v>5</v>
      </c>
      <c r="F43" s="1100"/>
      <c r="G43" s="102"/>
      <c r="H43" s="102"/>
      <c r="I43" s="747"/>
      <c r="J43" s="891"/>
    </row>
    <row r="44" spans="1:10" ht="33" customHeight="1" thickBot="1">
      <c r="A44" s="1333" t="s">
        <v>122</v>
      </c>
      <c r="B44" s="1334"/>
      <c r="C44" s="1334"/>
      <c r="D44" s="243"/>
      <c r="E44" s="750"/>
      <c r="F44" s="745">
        <f>IF(SUM(F17:F43)&lt;73, SUM(F17:F43),73)</f>
        <v>0</v>
      </c>
      <c r="G44" s="744"/>
      <c r="H44" s="484"/>
      <c r="I44" s="744"/>
      <c r="J44" s="744"/>
    </row>
    <row r="46" spans="1:10" ht="15.75" customHeight="1" thickBot="1">
      <c r="A46" s="938"/>
      <c r="B46" s="938"/>
      <c r="C46" s="942"/>
      <c r="D46" s="938"/>
      <c r="E46" s="938"/>
      <c r="F46" s="943"/>
      <c r="G46" s="938"/>
      <c r="I46" s="938"/>
      <c r="J46" s="938"/>
    </row>
    <row r="47" spans="1:10" ht="31.5" thickBot="1">
      <c r="A47" s="824" t="s">
        <v>699</v>
      </c>
      <c r="B47" s="1345" t="s">
        <v>80</v>
      </c>
      <c r="C47" s="1346"/>
      <c r="D47" s="1347"/>
      <c r="E47" s="749" t="s">
        <v>570</v>
      </c>
      <c r="F47" s="738" t="s">
        <v>162</v>
      </c>
      <c r="G47" s="737">
        <v>0</v>
      </c>
      <c r="I47" s="840" t="s">
        <v>53</v>
      </c>
      <c r="J47" s="103"/>
    </row>
    <row r="48" spans="1:10" ht="81" customHeight="1" thickBot="1">
      <c r="A48" s="944" t="s">
        <v>569</v>
      </c>
      <c r="B48" s="1348" t="s">
        <v>601</v>
      </c>
      <c r="C48" s="1348"/>
      <c r="D48" s="1348"/>
      <c r="E48" s="941">
        <v>10</v>
      </c>
      <c r="F48" s="879"/>
      <c r="G48" s="737">
        <v>10</v>
      </c>
      <c r="I48" s="747"/>
      <c r="J48" s="891"/>
    </row>
    <row r="49" spans="1:12" ht="81.5" customHeight="1" thickBot="1">
      <c r="A49" s="945" t="s">
        <v>745</v>
      </c>
      <c r="B49" s="1349" t="s">
        <v>744</v>
      </c>
      <c r="C49" s="1349"/>
      <c r="D49" s="1349"/>
      <c r="E49" s="946">
        <v>5</v>
      </c>
      <c r="F49" s="892"/>
      <c r="G49" s="737">
        <v>0</v>
      </c>
      <c r="I49" s="747"/>
      <c r="J49" s="891"/>
    </row>
    <row r="50" spans="1:12" ht="41" customHeight="1">
      <c r="A50" s="1343" t="s">
        <v>674</v>
      </c>
      <c r="B50" s="1355" t="s">
        <v>604</v>
      </c>
      <c r="C50" s="1355"/>
      <c r="D50" s="1355"/>
      <c r="E50" s="933">
        <v>10</v>
      </c>
      <c r="F50" s="748"/>
      <c r="G50" s="737">
        <v>5</v>
      </c>
      <c r="I50" s="747"/>
      <c r="J50" s="891"/>
    </row>
    <row r="51" spans="1:12" ht="41" customHeight="1" thickBot="1">
      <c r="A51" s="1344"/>
      <c r="B51" s="1356" t="s">
        <v>605</v>
      </c>
      <c r="C51" s="1356"/>
      <c r="D51" s="1356"/>
      <c r="E51" s="947">
        <v>5</v>
      </c>
      <c r="F51" s="746"/>
      <c r="G51" s="737"/>
      <c r="I51" s="113"/>
      <c r="J51" s="891"/>
      <c r="K51" s="486"/>
      <c r="L51" s="486"/>
    </row>
    <row r="52" spans="1:12" ht="32.5" customHeight="1" thickBot="1">
      <c r="A52" s="1325" t="s">
        <v>122</v>
      </c>
      <c r="B52" s="1326"/>
      <c r="C52" s="1326"/>
      <c r="D52" s="1326"/>
      <c r="E52" s="1327"/>
      <c r="F52" s="745">
        <f>IF(SUM(F48:F51)&lt;30, SUM(F48:F51),30)</f>
        <v>0</v>
      </c>
      <c r="G52" s="744"/>
      <c r="H52" s="484"/>
      <c r="I52" s="744"/>
      <c r="J52" s="744"/>
      <c r="K52" s="744"/>
      <c r="L52" s="744"/>
    </row>
    <row r="53" spans="1:12" ht="32" customHeight="1" thickBot="1">
      <c r="A53" s="898" t="s">
        <v>746</v>
      </c>
      <c r="B53" s="743"/>
      <c r="C53" s="743"/>
      <c r="D53" s="743"/>
      <c r="E53" s="899" t="s">
        <v>568</v>
      </c>
      <c r="F53" s="899">
        <f>IF(SUM(F52+F44+F13)&lt;175, SUM(F13+F44+F52),175)</f>
        <v>0</v>
      </c>
    </row>
    <row r="55" spans="1:12" ht="32.5" customHeight="1"/>
  </sheetData>
  <sheetProtection algorithmName="SHA-512" hashValue="vyFow7Y9It8ukoIRTkezVj+KDDfIWa+53dRNcifPkgEpX8M2KkMR1uYgh62fDORLBDSkrAuhWEQtzpz+zeMZwQ==" saltValue="Z1q0SLoqd2DoMQS0I2B/tA==" spinCount="100000" sheet="1" objects="1" scenarios="1"/>
  <mergeCells count="68">
    <mergeCell ref="B51:D51"/>
    <mergeCell ref="A17:A26"/>
    <mergeCell ref="B17:D17"/>
    <mergeCell ref="B34:D34"/>
    <mergeCell ref="B36:D36"/>
    <mergeCell ref="A27:A28"/>
    <mergeCell ref="B27:D28"/>
    <mergeCell ref="B26:D26"/>
    <mergeCell ref="B43:D43"/>
    <mergeCell ref="A38:A43"/>
    <mergeCell ref="A31:A36"/>
    <mergeCell ref="B37:D37"/>
    <mergeCell ref="B24:F24"/>
    <mergeCell ref="E38:F39"/>
    <mergeCell ref="F27:F28"/>
    <mergeCell ref="A29:A30"/>
    <mergeCell ref="A52:E52"/>
    <mergeCell ref="B6:E6"/>
    <mergeCell ref="A5:E5"/>
    <mergeCell ref="B16:D16"/>
    <mergeCell ref="A44:C44"/>
    <mergeCell ref="B38:D39"/>
    <mergeCell ref="B40:D40"/>
    <mergeCell ref="B41:D41"/>
    <mergeCell ref="B42:D42"/>
    <mergeCell ref="A50:A51"/>
    <mergeCell ref="B47:D47"/>
    <mergeCell ref="B48:D48"/>
    <mergeCell ref="B49:D49"/>
    <mergeCell ref="B25:D25"/>
    <mergeCell ref="B31:D31"/>
    <mergeCell ref="B50:D50"/>
    <mergeCell ref="B29:D30"/>
    <mergeCell ref="E29:E30"/>
    <mergeCell ref="F29:F30"/>
    <mergeCell ref="E27:E28"/>
    <mergeCell ref="A1:G1"/>
    <mergeCell ref="B4:E4"/>
    <mergeCell ref="I5:I6"/>
    <mergeCell ref="A9:A10"/>
    <mergeCell ref="B7:C7"/>
    <mergeCell ref="B8:C10"/>
    <mergeCell ref="D8:D10"/>
    <mergeCell ref="E8:E10"/>
    <mergeCell ref="F8:F10"/>
    <mergeCell ref="I7:I8"/>
    <mergeCell ref="I9:I10"/>
    <mergeCell ref="I11:I12"/>
    <mergeCell ref="A11:E11"/>
    <mergeCell ref="B12:E12"/>
    <mergeCell ref="B21:D21"/>
    <mergeCell ref="E21:E23"/>
    <mergeCell ref="E17:E20"/>
    <mergeCell ref="F17:F20"/>
    <mergeCell ref="B18:D18"/>
    <mergeCell ref="B19:D19"/>
    <mergeCell ref="B20:D20"/>
    <mergeCell ref="F21:F23"/>
    <mergeCell ref="B23:D23"/>
    <mergeCell ref="B22:D22"/>
    <mergeCell ref="I38:I39"/>
    <mergeCell ref="B33:D33"/>
    <mergeCell ref="B35:D35"/>
    <mergeCell ref="B32:D32"/>
    <mergeCell ref="E31:E33"/>
    <mergeCell ref="F31:F33"/>
    <mergeCell ref="E34:E35"/>
    <mergeCell ref="F34:F35"/>
  </mergeCells>
  <dataValidations count="15">
    <dataValidation type="list" allowBlank="1" showInputMessage="1" showErrorMessage="1" errorTitle="Falscher Wert!" error="Bitte geben Sie die Zahl 0,10,25 oder 35 ein." sqref="F12" xr:uid="{00000000-0002-0000-0200-00000F000000}">
      <formula1>$H$9:$H$10</formula1>
    </dataValidation>
    <dataValidation type="list" allowBlank="1" showInputMessage="1" showErrorMessage="1" errorTitle="Falscher Wert!" error="Bitte geben Sie die Zahl 0 oder 5 ein." sqref="F42" xr:uid="{00000000-0002-0000-0200-00000C000000}">
      <formula1>$H$38:$H$39</formula1>
    </dataValidation>
    <dataValidation type="list" allowBlank="1" showInputMessage="1" showErrorMessage="1" errorTitle="Falscher Wert!" error="Bitte geben Sie die Zahl 0 oder 10 ein." sqref="F25" xr:uid="{00000000-0002-0000-0200-000009000000}">
      <formula1>$G$24:$G$25</formula1>
    </dataValidation>
    <dataValidation type="list" allowBlank="1" showInputMessage="1" showErrorMessage="1" errorTitle="Falscher Wert!" error="Bitte geben Sie die Zahl 0 oder 5 ein." sqref="F29:F30" xr:uid="{00000000-0002-0000-0200-000007000000}">
      <formula1>$G$29:$G$30</formula1>
    </dataValidation>
    <dataValidation type="list" allowBlank="1" showInputMessage="1" showErrorMessage="1" errorTitle="Falscher Wert!" error="Bitte geben Sie die Zahl 0 oder 5 ein." sqref="F26:F28 F31 F34" xr:uid="{00000000-0002-0000-0200-000006000000}">
      <formula1>$G$27:$G$28</formula1>
    </dataValidation>
    <dataValidation type="list" allowBlank="1" showInputMessage="1" showErrorMessage="1" sqref="F6" xr:uid="{00000000-0002-0000-0200-000005000000}">
      <formula1>$G$5:$H$5</formula1>
    </dataValidation>
    <dataValidation type="list" allowBlank="1" showInputMessage="1" showErrorMessage="1" errorTitle="Falscher Wert!" error="Bitte geben Sie die Zahl 0 oder 5 ein." sqref="F43 F37" xr:uid="{00000000-0002-0000-0200-000002000000}">
      <formula1>$H$40:$H$41</formula1>
    </dataValidation>
    <dataValidation type="list" allowBlank="1" showInputMessage="1" showErrorMessage="1" errorTitle="Falscher Wert!" error="Bitte geben Sie die Zahl 0 oder 10 ein." sqref="F40" xr:uid="{00000000-0002-0000-0200-000001000000}">
      <formula1>$G$38:$G$39</formula1>
    </dataValidation>
    <dataValidation type="list" allowBlank="1" showInputMessage="1" showErrorMessage="1" errorTitle="Falscher Wert!" error="Bitte geben Sie die Zahl 0 oder 10 ein." sqref="F41" xr:uid="{00000000-0002-0000-0200-000000000000}">
      <formula1>$G$40:$G$41</formula1>
    </dataValidation>
    <dataValidation type="list" allowBlank="1" showInputMessage="1" showErrorMessage="1" errorTitle="Falscher Wert!" error="Bitte geben Sie die Zahl 0 ein." sqref="F17:F20" xr:uid="{554E6FD5-3398-4A87-BDE4-B5DED7AC9B5F}">
      <formula1>$H$17:$H$18</formula1>
    </dataValidation>
    <dataValidation type="list" allowBlank="1" showInputMessage="1" showErrorMessage="1" errorTitle="Falscher Wert!" error="Bitte geben Sie die Zahl 0 oder 5 ein." sqref="F50 F48" xr:uid="{00000000-0002-0000-0200-00000E000000}">
      <formula1>$G$47:$G$48</formula1>
    </dataValidation>
    <dataValidation type="list" allowBlank="1" showInputMessage="1" showErrorMessage="1" errorTitle="Falscher Wert!" error="Bitte geben Sie die Zahl 0 oder 5 ein." sqref="F51 F49" xr:uid="{00000000-0002-0000-0200-00000D000000}">
      <formula1>$G$49:$G$50</formula1>
    </dataValidation>
    <dataValidation type="list" allowBlank="1" showInputMessage="1" showErrorMessage="1" errorTitle="Falscher Wert!" error="Bitte geben Sie die Zahl 0 oder 20 ein." sqref="F21:F23" xr:uid="{00000000-0002-0000-0200-00000A000000}">
      <formula1>$G$21:$G$22</formula1>
    </dataValidation>
    <dataValidation type="list" allowBlank="1" showInputMessage="1" showErrorMessage="1" errorTitle="Falscher Wert!" error="Bitte geben Sie die Zahl 0 oder 5 ein." sqref="F36" xr:uid="{00000000-0002-0000-0200-000008000000}">
      <formula1>$G$34:$G$35</formula1>
    </dataValidation>
    <dataValidation type="list" allowBlank="1" showInputMessage="1" showErrorMessage="1" sqref="F8" xr:uid="{00000000-0002-0000-0200-00000B000000}">
      <formula1>$L$4:$L$16</formula1>
    </dataValidation>
  </dataValidations>
  <printOptions horizontalCentered="1"/>
  <pageMargins left="0.59055118110236227" right="0.59055118110236227" top="0.59055118110236227" bottom="0.59055118110236227" header="0.31496062992125984" footer="0.31496062992125984"/>
  <pageSetup paperSize="9" scale="2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247D0-E2CE-42F6-9927-A3B254220775}">
  <sheetPr>
    <pageSetUpPr fitToPage="1"/>
  </sheetPr>
  <dimension ref="A1:O38"/>
  <sheetViews>
    <sheetView topLeftCell="A9" zoomScale="80" zoomScaleNormal="80" workbookViewId="0">
      <selection activeCell="N22" sqref="N22"/>
    </sheetView>
  </sheetViews>
  <sheetFormatPr baseColWidth="10" defaultColWidth="11.36328125" defaultRowHeight="12.5"/>
  <cols>
    <col min="1" max="1" width="30.6328125" style="98" customWidth="1"/>
    <col min="2" max="2" width="57.81640625" style="98" customWidth="1"/>
    <col min="3" max="3" width="70.08984375" style="98" customWidth="1"/>
    <col min="4" max="4" width="14.7265625" style="98" customWidth="1"/>
    <col min="5" max="5" width="16.26953125" style="250" customWidth="1"/>
    <col min="6" max="6" width="4.08984375" style="98" hidden="1" customWidth="1"/>
    <col min="7" max="7" width="7.81640625" style="98" hidden="1" customWidth="1"/>
    <col min="8" max="8" width="6" style="98" hidden="1" customWidth="1"/>
    <col min="9" max="9" width="7.36328125" style="98" hidden="1" customWidth="1"/>
    <col min="10" max="10" width="30.7265625" style="250" customWidth="1"/>
    <col min="11" max="11" width="11.36328125" style="98"/>
    <col min="12" max="12" width="5.36328125" style="98" customWidth="1"/>
    <col min="13" max="13" width="2.81640625" style="98" customWidth="1"/>
    <col min="14" max="14" width="44.6328125" customWidth="1"/>
    <col min="15" max="15" width="21.36328125" customWidth="1"/>
    <col min="16" max="16384" width="11.36328125" style="98"/>
  </cols>
  <sheetData>
    <row r="1" spans="1:15" ht="42.75" customHeight="1">
      <c r="A1" s="1322" t="s">
        <v>700</v>
      </c>
      <c r="B1" s="1322"/>
      <c r="C1" s="1322"/>
      <c r="D1" s="1322"/>
      <c r="E1" s="1322"/>
      <c r="F1" s="1322"/>
      <c r="G1" s="1322"/>
      <c r="H1" s="1322"/>
      <c r="I1" s="1322"/>
      <c r="J1" s="1322"/>
    </row>
    <row r="2" spans="1:15" ht="7.5" customHeight="1">
      <c r="A2" s="99"/>
      <c r="B2" s="99"/>
      <c r="C2" s="99"/>
      <c r="D2" s="99"/>
      <c r="E2" s="100"/>
    </row>
    <row r="3" spans="1:15" ht="7.5" customHeight="1" thickBot="1">
      <c r="A3" s="99"/>
      <c r="B3" s="99"/>
      <c r="C3" s="99"/>
      <c r="D3" s="99"/>
      <c r="E3" s="100"/>
    </row>
    <row r="4" spans="1:15" ht="54" customHeight="1" thickBot="1">
      <c r="A4" s="1059" t="s">
        <v>161</v>
      </c>
      <c r="B4" s="740" t="s">
        <v>80</v>
      </c>
      <c r="C4" s="740" t="s">
        <v>167</v>
      </c>
      <c r="D4" s="739" t="s">
        <v>168</v>
      </c>
      <c r="E4" s="765" t="s">
        <v>162</v>
      </c>
      <c r="J4" s="839" t="s">
        <v>53</v>
      </c>
    </row>
    <row r="5" spans="1:15" s="101" customFormat="1" ht="56.25" customHeight="1" thickBot="1">
      <c r="A5" s="880" t="s">
        <v>169</v>
      </c>
      <c r="B5" s="1058" t="s">
        <v>607</v>
      </c>
      <c r="C5" s="1058" t="s">
        <v>170</v>
      </c>
      <c r="D5" s="103">
        <v>4</v>
      </c>
      <c r="E5" s="1107"/>
      <c r="F5" s="101">
        <v>0</v>
      </c>
      <c r="G5" s="101">
        <v>4</v>
      </c>
      <c r="J5" s="747"/>
    </row>
    <row r="6" spans="1:15" s="101" customFormat="1" ht="30" customHeight="1" thickBot="1">
      <c r="A6" s="1421" t="s">
        <v>729</v>
      </c>
      <c r="B6" s="1426"/>
      <c r="C6" s="1422"/>
      <c r="D6" s="766" t="s">
        <v>163</v>
      </c>
      <c r="E6" s="1105"/>
      <c r="J6" s="747"/>
    </row>
    <row r="7" spans="1:15" s="101" customFormat="1" ht="46" customHeight="1">
      <c r="A7" s="1427" t="s">
        <v>688</v>
      </c>
      <c r="B7" s="1428" t="s">
        <v>608</v>
      </c>
      <c r="C7" s="1428"/>
      <c r="D7" s="779">
        <v>4</v>
      </c>
      <c r="E7" s="1106"/>
      <c r="F7" s="105">
        <v>0</v>
      </c>
      <c r="G7" s="105">
        <v>4</v>
      </c>
      <c r="H7" s="105"/>
      <c r="I7" s="105"/>
      <c r="J7" s="747"/>
    </row>
    <row r="8" spans="1:15" s="101" customFormat="1" ht="30" customHeight="1">
      <c r="A8" s="1427"/>
      <c r="B8" s="1410" t="s">
        <v>609</v>
      </c>
      <c r="C8" s="1410"/>
      <c r="D8" s="751">
        <v>4</v>
      </c>
      <c r="E8" s="1429"/>
      <c r="F8" s="105">
        <v>0</v>
      </c>
      <c r="G8" s="105">
        <v>2</v>
      </c>
      <c r="H8" s="105">
        <v>4</v>
      </c>
      <c r="I8" s="105"/>
      <c r="J8" s="1403"/>
    </row>
    <row r="9" spans="1:15" s="101" customFormat="1" ht="30.75" customHeight="1">
      <c r="A9" s="1427"/>
      <c r="B9" s="1410" t="s">
        <v>610</v>
      </c>
      <c r="C9" s="1410"/>
      <c r="D9" s="242">
        <v>2</v>
      </c>
      <c r="E9" s="1419"/>
      <c r="F9" s="105"/>
      <c r="G9" s="105"/>
      <c r="H9" s="105"/>
      <c r="I9" s="105"/>
      <c r="J9" s="1405"/>
    </row>
    <row r="10" spans="1:15" s="101" customFormat="1" ht="30.75" customHeight="1">
      <c r="A10" s="1427"/>
      <c r="B10" s="1410" t="s">
        <v>611</v>
      </c>
      <c r="C10" s="1410"/>
      <c r="D10" s="752">
        <v>4</v>
      </c>
      <c r="E10" s="1429"/>
      <c r="F10" s="105">
        <v>0</v>
      </c>
      <c r="G10" s="105">
        <v>2</v>
      </c>
      <c r="H10" s="105">
        <v>4</v>
      </c>
      <c r="I10" s="105"/>
      <c r="J10" s="1403"/>
    </row>
    <row r="11" spans="1:15" s="101" customFormat="1" ht="30" customHeight="1">
      <c r="A11" s="1427"/>
      <c r="B11" s="1410" t="s">
        <v>612</v>
      </c>
      <c r="C11" s="1410"/>
      <c r="D11" s="751">
        <v>2</v>
      </c>
      <c r="E11" s="1419"/>
      <c r="F11" s="105"/>
      <c r="G11" s="105"/>
      <c r="H11" s="105"/>
      <c r="I11" s="105"/>
      <c r="J11" s="1405"/>
    </row>
    <row r="12" spans="1:15" s="101" customFormat="1" ht="26.5" customHeight="1">
      <c r="A12" s="1427"/>
      <c r="B12" s="1411" t="s">
        <v>613</v>
      </c>
      <c r="C12" s="1412"/>
      <c r="D12" s="1266">
        <v>2</v>
      </c>
      <c r="E12" s="1418"/>
      <c r="F12" s="105">
        <v>0</v>
      </c>
      <c r="G12" s="105">
        <v>2</v>
      </c>
      <c r="H12" s="105"/>
      <c r="J12" s="1420"/>
    </row>
    <row r="13" spans="1:15" s="101" customFormat="1" ht="20.25" customHeight="1">
      <c r="A13" s="1427"/>
      <c r="B13" s="1413"/>
      <c r="C13" s="1414"/>
      <c r="D13" s="1415"/>
      <c r="E13" s="1419"/>
      <c r="F13" s="105"/>
      <c r="G13" s="105"/>
      <c r="H13" s="105"/>
      <c r="I13" s="105">
        <v>0</v>
      </c>
      <c r="J13" s="1420"/>
      <c r="N13" s="703"/>
      <c r="O13" s="704"/>
    </row>
    <row r="14" spans="1:15" s="101" customFormat="1" ht="30" customHeight="1" thickBot="1">
      <c r="A14" s="1069"/>
      <c r="B14" s="1338" t="s">
        <v>614</v>
      </c>
      <c r="C14" s="1388"/>
      <c r="D14" s="932">
        <v>3</v>
      </c>
      <c r="E14" s="1070"/>
      <c r="F14" s="105">
        <v>0</v>
      </c>
      <c r="G14" s="105">
        <v>3</v>
      </c>
      <c r="H14" s="105"/>
      <c r="I14" s="101">
        <v>3</v>
      </c>
      <c r="J14" s="747"/>
    </row>
    <row r="15" spans="1:15" s="101" customFormat="1" ht="30" customHeight="1">
      <c r="A15" s="1389" t="s">
        <v>574</v>
      </c>
      <c r="B15" s="1337" t="s">
        <v>575</v>
      </c>
      <c r="C15" s="1392"/>
      <c r="D15" s="103">
        <v>3</v>
      </c>
      <c r="E15" s="1393"/>
      <c r="F15" s="105"/>
      <c r="G15" s="105"/>
      <c r="H15" s="105"/>
      <c r="I15" s="105">
        <v>6</v>
      </c>
      <c r="J15" s="747"/>
    </row>
    <row r="16" spans="1:15" s="101" customFormat="1" ht="30" customHeight="1">
      <c r="A16" s="1390"/>
      <c r="B16" s="836" t="s">
        <v>576</v>
      </c>
      <c r="C16" s="1072"/>
      <c r="D16" s="103">
        <v>3</v>
      </c>
      <c r="E16" s="1310"/>
      <c r="F16" s="105"/>
      <c r="G16" s="105"/>
      <c r="H16" s="105"/>
      <c r="I16" s="105">
        <v>9</v>
      </c>
      <c r="J16" s="747"/>
    </row>
    <row r="17" spans="1:13" s="101" customFormat="1" ht="30" customHeight="1" thickBot="1">
      <c r="A17" s="1391"/>
      <c r="B17" s="1338" t="s">
        <v>666</v>
      </c>
      <c r="C17" s="1388"/>
      <c r="D17" s="1073">
        <v>3</v>
      </c>
      <c r="E17" s="1394"/>
      <c r="F17" s="105"/>
      <c r="G17" s="105"/>
      <c r="H17" s="105"/>
      <c r="I17" s="105"/>
      <c r="J17" s="747"/>
    </row>
    <row r="18" spans="1:13" s="101" customFormat="1" ht="44.5" customHeight="1">
      <c r="A18" s="1390" t="s">
        <v>171</v>
      </c>
      <c r="B18" s="1397" t="s">
        <v>172</v>
      </c>
      <c r="C18" s="1071" t="s">
        <v>800</v>
      </c>
      <c r="D18" s="103">
        <v>3</v>
      </c>
      <c r="E18" s="797"/>
      <c r="F18" s="101">
        <v>0</v>
      </c>
      <c r="G18" s="101">
        <v>3</v>
      </c>
      <c r="I18" s="101">
        <v>0</v>
      </c>
      <c r="J18" s="747"/>
    </row>
    <row r="19" spans="1:13" s="101" customFormat="1" ht="44.25" customHeight="1">
      <c r="A19" s="1395"/>
      <c r="B19" s="1398"/>
      <c r="C19" s="789" t="s">
        <v>616</v>
      </c>
      <c r="D19" s="770">
        <v>2</v>
      </c>
      <c r="E19" s="769"/>
      <c r="F19" s="101">
        <v>0</v>
      </c>
      <c r="G19" s="101">
        <v>2</v>
      </c>
      <c r="I19" s="101">
        <v>4</v>
      </c>
      <c r="J19" s="747"/>
    </row>
    <row r="20" spans="1:13" s="101" customFormat="1" ht="44.25" customHeight="1" thickBot="1">
      <c r="A20" s="1396"/>
      <c r="B20" s="1399"/>
      <c r="C20" s="771" t="s">
        <v>615</v>
      </c>
      <c r="D20" s="772">
        <v>1</v>
      </c>
      <c r="E20" s="1070"/>
      <c r="F20" s="101">
        <v>0</v>
      </c>
      <c r="G20" s="101">
        <v>1</v>
      </c>
      <c r="I20" s="101">
        <v>8</v>
      </c>
      <c r="J20" s="747"/>
    </row>
    <row r="21" spans="1:13" s="101" customFormat="1" ht="30" customHeight="1" thickBot="1">
      <c r="A21" s="1421" t="s">
        <v>701</v>
      </c>
      <c r="B21" s="1422"/>
      <c r="C21" s="773" t="s">
        <v>577</v>
      </c>
      <c r="D21" s="766" t="s">
        <v>163</v>
      </c>
      <c r="E21" s="1074"/>
      <c r="I21" s="101">
        <v>12</v>
      </c>
      <c r="J21" s="747"/>
    </row>
    <row r="22" spans="1:13" s="101" customFormat="1" ht="30.75" customHeight="1">
      <c r="A22" s="1389" t="s">
        <v>578</v>
      </c>
      <c r="B22" s="1423" t="s">
        <v>579</v>
      </c>
      <c r="C22" s="1075" t="s">
        <v>634</v>
      </c>
      <c r="D22" s="1076">
        <v>4</v>
      </c>
      <c r="E22" s="1400">
        <f>IF(Nebenrechnungen!D126&lt;0.4,0,IF(AND(Nebenrechnungen!D126&gt;=0.4,Nebenrechnungen!D126&lt;0.5),4,IF(AND(Nebenrechnungen!D126&gt;=0.5,Nebenrechnungen!D126&lt;0.6),8,IF(AND(Nebenrechnungen!D126&gt;=0.6,Nebenrechnungen!D126&lt;0.7),12,IF(AND(Nebenrechnungen!D126&gt;=0.7,Nebenrechnungen!D126&lt;0.8),16,20)))))</f>
        <v>0</v>
      </c>
      <c r="I22" s="101">
        <v>16</v>
      </c>
      <c r="J22" s="767"/>
    </row>
    <row r="23" spans="1:13" s="101" customFormat="1" ht="30.75" customHeight="1">
      <c r="A23" s="1390"/>
      <c r="B23" s="1424"/>
      <c r="C23" s="792" t="s">
        <v>580</v>
      </c>
      <c r="D23" s="793">
        <v>8</v>
      </c>
      <c r="E23" s="1401"/>
      <c r="F23" s="105"/>
      <c r="G23" s="105"/>
      <c r="H23" s="105"/>
      <c r="I23" s="105">
        <v>20</v>
      </c>
      <c r="J23" s="1403"/>
    </row>
    <row r="24" spans="1:13" s="101" customFormat="1" ht="30.75" customHeight="1">
      <c r="A24" s="1390"/>
      <c r="B24" s="1424"/>
      <c r="C24" s="792" t="s">
        <v>581</v>
      </c>
      <c r="D24" s="793">
        <v>12</v>
      </c>
      <c r="E24" s="1401"/>
      <c r="F24" s="105"/>
      <c r="G24" s="105"/>
      <c r="H24" s="105"/>
      <c r="I24" s="105"/>
      <c r="J24" s="1404"/>
    </row>
    <row r="25" spans="1:13" s="101" customFormat="1" ht="30.75" customHeight="1">
      <c r="A25" s="1390"/>
      <c r="B25" s="1424"/>
      <c r="C25" s="792" t="s">
        <v>582</v>
      </c>
      <c r="D25" s="793">
        <v>16</v>
      </c>
      <c r="E25" s="1401"/>
      <c r="F25" s="105"/>
      <c r="G25" s="105"/>
      <c r="H25" s="105"/>
      <c r="I25" s="105"/>
      <c r="J25" s="1404"/>
    </row>
    <row r="26" spans="1:13" s="101" customFormat="1" ht="30.75" customHeight="1" thickBot="1">
      <c r="A26" s="1391"/>
      <c r="B26" s="1425"/>
      <c r="C26" s="1077" t="s">
        <v>583</v>
      </c>
      <c r="D26" s="1078">
        <v>20</v>
      </c>
      <c r="E26" s="1402"/>
      <c r="F26" s="105"/>
      <c r="G26" s="105"/>
      <c r="H26" s="105"/>
      <c r="I26" s="105"/>
      <c r="J26" s="1405"/>
    </row>
    <row r="27" spans="1:13" s="101" customFormat="1" ht="46.5" customHeight="1" thickBot="1">
      <c r="A27" s="1081" t="s">
        <v>175</v>
      </c>
      <c r="B27" s="1416" t="s">
        <v>617</v>
      </c>
      <c r="C27" s="1417"/>
      <c r="D27" s="1082">
        <v>5</v>
      </c>
      <c r="E27" s="1083"/>
      <c r="F27" s="105">
        <v>0</v>
      </c>
      <c r="G27" s="105">
        <v>5</v>
      </c>
      <c r="H27" s="105"/>
      <c r="I27" s="105"/>
      <c r="J27" s="747"/>
    </row>
    <row r="28" spans="1:13" s="101" customFormat="1" ht="46.5" customHeight="1" thickBot="1">
      <c r="A28" s="774" t="s">
        <v>176</v>
      </c>
      <c r="B28" s="1406" t="s">
        <v>618</v>
      </c>
      <c r="C28" s="1407"/>
      <c r="D28" s="1079">
        <v>5</v>
      </c>
      <c r="E28" s="1080"/>
      <c r="F28" s="105">
        <v>0</v>
      </c>
      <c r="G28" s="105">
        <v>5</v>
      </c>
      <c r="H28" s="105"/>
      <c r="I28" s="105"/>
      <c r="J28" s="747"/>
      <c r="K28" s="1408"/>
      <c r="L28" s="1409"/>
      <c r="M28" s="1409"/>
    </row>
    <row r="29" spans="1:13" s="101" customFormat="1" ht="35.25" customHeight="1" thickBot="1">
      <c r="A29" s="1333" t="s">
        <v>122</v>
      </c>
      <c r="B29" s="1334"/>
      <c r="C29" s="1334"/>
      <c r="D29" s="243"/>
      <c r="E29" s="1068">
        <f>IF((IF(SUM(E7:E20)&lt;30,SUM(E7:E20),30)+SUM(E22:E28)+E5)&lt;60,(IF(SUM(E7:E20)&lt;30,SUM(E7:E20),30)+SUM(E22:E28)+E5),60)</f>
        <v>0</v>
      </c>
      <c r="F29" s="102"/>
      <c r="G29" s="102"/>
      <c r="H29" s="102"/>
      <c r="I29" s="102"/>
      <c r="J29" s="289"/>
    </row>
    <row r="30" spans="1:13" s="102" customFormat="1" ht="30.25" customHeight="1">
      <c r="A30" s="104"/>
      <c r="B30" s="104"/>
      <c r="C30" s="104"/>
      <c r="D30" s="104"/>
      <c r="E30" s="775"/>
      <c r="F30" s="98"/>
      <c r="G30" s="98"/>
      <c r="H30" s="98"/>
      <c r="I30" s="98"/>
      <c r="J30" s="250"/>
    </row>
    <row r="37" ht="12.75" customHeight="1"/>
    <row r="38" ht="12.75" customHeight="1"/>
  </sheetData>
  <sheetProtection algorithmName="SHA-512" hashValue="6eJw65rYvQn81Lk4SLwmK4zotpj3wG/mbh5R2Ars2wLzpV0PTdCIaDbvKHrxuarJQE2NovEHIMeDRs1XAptPjQ==" saltValue="Nr/3Cits9IMZ+c/FHUumLQ==" spinCount="100000" sheet="1" pivotTables="0"/>
  <protectedRanges>
    <protectedRange sqref="E15" name="Bereich1"/>
  </protectedRanges>
  <mergeCells count="32">
    <mergeCell ref="A1:J1"/>
    <mergeCell ref="A6:C6"/>
    <mergeCell ref="A7:A13"/>
    <mergeCell ref="B7:C7"/>
    <mergeCell ref="B8:C8"/>
    <mergeCell ref="E8:E9"/>
    <mergeCell ref="J8:J9"/>
    <mergeCell ref="B9:C9"/>
    <mergeCell ref="B10:C10"/>
    <mergeCell ref="E10:E11"/>
    <mergeCell ref="J23:J26"/>
    <mergeCell ref="B28:C28"/>
    <mergeCell ref="K28:M28"/>
    <mergeCell ref="J10:J11"/>
    <mergeCell ref="B11:C11"/>
    <mergeCell ref="B12:C13"/>
    <mergeCell ref="D12:D13"/>
    <mergeCell ref="B27:C27"/>
    <mergeCell ref="E12:E13"/>
    <mergeCell ref="J12:J13"/>
    <mergeCell ref="A21:B21"/>
    <mergeCell ref="A22:A26"/>
    <mergeCell ref="B22:B26"/>
    <mergeCell ref="A29:C29"/>
    <mergeCell ref="B14:C14"/>
    <mergeCell ref="A15:A17"/>
    <mergeCell ref="B15:C15"/>
    <mergeCell ref="E15:E17"/>
    <mergeCell ref="B17:C17"/>
    <mergeCell ref="A18:A20"/>
    <mergeCell ref="B18:B20"/>
    <mergeCell ref="E22:E26"/>
  </mergeCells>
  <dataValidations count="12">
    <dataValidation type="list" allowBlank="1" showInputMessage="1" showErrorMessage="1" sqref="E14" xr:uid="{3282D6AD-0200-4ED2-B646-1CD2BB1B90D6}">
      <formula1>$F$14:$G$14</formula1>
    </dataValidation>
    <dataValidation type="list" allowBlank="1" showInputMessage="1" showErrorMessage="1" sqref="E27" xr:uid="{25AC8FA3-8A5D-46A8-B32A-287A697D9062}">
      <formula1>$F$27:$G$27</formula1>
    </dataValidation>
    <dataValidation type="list" allowBlank="1" showInputMessage="1" showErrorMessage="1" sqref="E10:E11" xr:uid="{F191A8D0-73D8-41C4-9A68-96133D3899EB}">
      <formula1>$F$10:$H$10</formula1>
    </dataValidation>
    <dataValidation type="list" allowBlank="1" showInputMessage="1" showErrorMessage="1" sqref="E8:E9" xr:uid="{459FE8E0-2DDD-4A2E-803B-7AD1C5AF87B4}">
      <formula1>$F$8:$H$8</formula1>
    </dataValidation>
    <dataValidation type="list" allowBlank="1" showInputMessage="1" showErrorMessage="1" sqref="E12:E13" xr:uid="{AF7279CE-18AA-4B40-A132-500289ACB95D}">
      <formula1>$F$12:$G$12</formula1>
    </dataValidation>
    <dataValidation type="list" allowBlank="1" showInputMessage="1" showErrorMessage="1" sqref="E20" xr:uid="{160BA71E-CAE9-43F1-8687-4E00C2E96261}">
      <formula1>$F$20:$G$20</formula1>
    </dataValidation>
    <dataValidation type="list" allowBlank="1" showInputMessage="1" showErrorMessage="1" sqref="E19" xr:uid="{02539E81-2BE6-41CC-8787-9EADE730BE16}">
      <formula1>$F$19:$G$19</formula1>
    </dataValidation>
    <dataValidation type="list" allowBlank="1" showInputMessage="1" showErrorMessage="1" sqref="E18" xr:uid="{314117E3-FEB3-4574-9E8C-E5F8C14DBA10}">
      <formula1>$F$18:$G$18</formula1>
    </dataValidation>
    <dataValidation type="list" allowBlank="1" showInputMessage="1" showErrorMessage="1" sqref="E28" xr:uid="{62F68415-249E-4B88-9957-05370C5A3589}">
      <formula1>$F$28:$G$28</formula1>
    </dataValidation>
    <dataValidation type="list" allowBlank="1" showInputMessage="1" showErrorMessage="1" sqref="E7" xr:uid="{3C30277A-F78D-49C8-A55A-2F06A6842FEE}">
      <formula1>$F$7:$G$7</formula1>
    </dataValidation>
    <dataValidation type="list" allowBlank="1" showInputMessage="1" showErrorMessage="1" sqref="E5" xr:uid="{8A7F1ED5-A4F8-4625-B99C-7888D4A597E5}">
      <formula1>$F$5:$G$5</formula1>
    </dataValidation>
    <dataValidation type="list" allowBlank="1" showInputMessage="1" showErrorMessage="1" sqref="E15" xr:uid="{54D1A255-322F-4304-AB77-53B08579B70D}">
      <formula1>$I$13:$I$16</formula1>
    </dataValidation>
  </dataValidations>
  <printOptions horizontalCentered="1"/>
  <pageMargins left="0.59055118110236227" right="0.59055118110236227" top="0.59055118110236227" bottom="0.59055118110236227" header="0.31496062992125984" footer="0.31496062992125984"/>
  <pageSetup paperSize="9" scale="4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AB38"/>
  <sheetViews>
    <sheetView zoomScale="80" zoomScaleNormal="80" workbookViewId="0">
      <selection activeCell="C25" sqref="C25"/>
    </sheetView>
  </sheetViews>
  <sheetFormatPr baseColWidth="10" defaultColWidth="11.36328125" defaultRowHeight="14.5"/>
  <cols>
    <col min="1" max="1" width="79.90625" style="62" customWidth="1"/>
    <col min="2" max="2" width="15.81640625" style="62" customWidth="1"/>
    <col min="3" max="3" width="23.08984375" style="62" customWidth="1"/>
    <col min="4" max="4" width="27.7265625" style="62" customWidth="1"/>
    <col min="5" max="5" width="10.7265625" style="62" customWidth="1"/>
    <col min="6" max="6" width="19.81640625" style="62" customWidth="1"/>
    <col min="7" max="7" width="46.81640625" style="62" customWidth="1"/>
    <col min="8" max="8" width="30.7265625" style="293" customWidth="1"/>
    <col min="9" max="9" width="11.08984375" style="62" customWidth="1"/>
    <col min="10" max="10" width="17" style="62" customWidth="1"/>
    <col min="11" max="11" width="23.6328125" style="62" customWidth="1"/>
    <col min="12" max="12" width="43.7265625" style="62" customWidth="1"/>
    <col min="13" max="13" width="35.26953125" style="62" customWidth="1"/>
    <col min="14" max="14" width="14.81640625" style="62" customWidth="1"/>
    <col min="15" max="15" width="15.08984375" style="62" customWidth="1"/>
    <col min="16" max="16384" width="11.36328125" style="62"/>
  </cols>
  <sheetData>
    <row r="1" spans="1:15" ht="42" customHeight="1">
      <c r="A1" s="244" t="s">
        <v>763</v>
      </c>
      <c r="B1" s="106"/>
      <c r="C1" s="106"/>
      <c r="D1" s="106"/>
      <c r="E1" s="106"/>
      <c r="F1" s="106"/>
      <c r="G1" s="106"/>
    </row>
    <row r="2" spans="1:15" ht="8.25" customHeight="1" thickBot="1">
      <c r="A2" s="107"/>
      <c r="B2" s="107"/>
      <c r="C2" s="107"/>
      <c r="D2" s="107"/>
      <c r="E2" s="107"/>
      <c r="F2" s="107"/>
      <c r="G2" s="107"/>
    </row>
    <row r="3" spans="1:15" ht="25" customHeight="1" thickBot="1">
      <c r="A3" s="983" t="s">
        <v>177</v>
      </c>
      <c r="B3" s="984"/>
      <c r="C3" s="984"/>
      <c r="D3" s="984"/>
      <c r="E3" s="984"/>
      <c r="F3" s="984"/>
      <c r="G3" s="985"/>
      <c r="H3" s="838" t="s">
        <v>53</v>
      </c>
      <c r="J3" s="106"/>
      <c r="K3" s="441"/>
      <c r="L3" s="106"/>
      <c r="M3" s="106"/>
      <c r="N3" s="106"/>
      <c r="O3" s="106"/>
    </row>
    <row r="4" spans="1:15" ht="25" customHeight="1">
      <c r="A4" s="980" t="s">
        <v>464</v>
      </c>
      <c r="B4" s="1432" t="str">
        <f>IF('Punktevergabe LNB'!C3="","",'Punktevergabe LNB'!C3)</f>
        <v/>
      </c>
      <c r="C4" s="1433"/>
      <c r="D4" s="1434"/>
      <c r="E4" s="981"/>
      <c r="F4" s="982"/>
      <c r="G4" s="109"/>
      <c r="H4" s="996"/>
      <c r="J4" s="106"/>
      <c r="K4" s="106"/>
      <c r="L4" s="106"/>
      <c r="M4" s="106"/>
      <c r="N4" s="106"/>
      <c r="O4" s="106"/>
    </row>
    <row r="5" spans="1:15" ht="25" customHeight="1">
      <c r="A5" s="59" t="s">
        <v>178</v>
      </c>
      <c r="B5" s="1435" t="s">
        <v>179</v>
      </c>
      <c r="C5" s="1436"/>
      <c r="D5" s="1437"/>
      <c r="E5" s="106"/>
      <c r="F5" s="532"/>
      <c r="G5" s="109"/>
      <c r="H5" s="996"/>
      <c r="J5" s="106"/>
      <c r="K5" s="106"/>
      <c r="L5" s="106"/>
      <c r="M5" s="442"/>
      <c r="N5" s="106"/>
      <c r="O5" s="106"/>
    </row>
    <row r="6" spans="1:15" ht="25" customHeight="1">
      <c r="A6" s="59" t="s">
        <v>726</v>
      </c>
      <c r="B6" s="110"/>
      <c r="C6" s="533" t="s">
        <v>180</v>
      </c>
      <c r="D6" s="106"/>
      <c r="E6" s="106"/>
      <c r="F6" s="106"/>
      <c r="G6" s="109"/>
      <c r="H6" s="996"/>
      <c r="J6" s="106"/>
      <c r="K6" s="106"/>
      <c r="L6" s="106"/>
      <c r="M6" s="442"/>
      <c r="N6" s="106"/>
      <c r="O6" s="106"/>
    </row>
    <row r="7" spans="1:15" ht="25" customHeight="1">
      <c r="A7" s="59" t="str">
        <f>_xlfn.IFNA(VLOOKUP(B5,Objekttabelle!A2:B7,2,FALSE), "Bezugsgröße")</f>
        <v>Nutzungsfläche in m²</v>
      </c>
      <c r="B7" s="110"/>
      <c r="C7" s="534"/>
      <c r="D7" s="106"/>
      <c r="E7" s="106"/>
      <c r="F7" s="106"/>
      <c r="G7" s="109"/>
      <c r="H7" s="996"/>
      <c r="J7" s="106"/>
      <c r="K7" s="106"/>
      <c r="L7" s="106"/>
      <c r="M7" s="106"/>
      <c r="N7" s="106"/>
      <c r="O7" s="106"/>
    </row>
    <row r="8" spans="1:15" ht="25" customHeight="1">
      <c r="A8" s="980" t="s">
        <v>181</v>
      </c>
      <c r="B8" s="988"/>
      <c r="C8" s="533" t="s">
        <v>180</v>
      </c>
      <c r="D8" s="1"/>
      <c r="E8" s="1"/>
      <c r="F8" s="1"/>
      <c r="G8" s="109"/>
      <c r="H8" s="996"/>
      <c r="J8" s="106"/>
      <c r="K8" s="106"/>
      <c r="L8" s="106"/>
      <c r="M8" s="106"/>
      <c r="N8" s="106"/>
      <c r="O8" s="106"/>
    </row>
    <row r="9" spans="1:15" ht="25" customHeight="1" thickBot="1">
      <c r="A9" s="986"/>
      <c r="B9" s="987"/>
      <c r="C9" s="106"/>
      <c r="D9" s="106"/>
      <c r="E9" s="106"/>
      <c r="F9" s="106"/>
      <c r="G9" s="109"/>
      <c r="H9" s="996"/>
      <c r="J9" s="106"/>
      <c r="K9" s="106"/>
      <c r="L9" s="361"/>
      <c r="M9" s="361"/>
      <c r="N9" s="361"/>
      <c r="O9" s="106"/>
    </row>
    <row r="10" spans="1:15" ht="25" customHeight="1" thickBot="1">
      <c r="A10" s="983" t="s">
        <v>768</v>
      </c>
      <c r="B10" s="984"/>
      <c r="C10" s="984"/>
      <c r="D10" s="984"/>
      <c r="E10" s="984"/>
      <c r="F10" s="984"/>
      <c r="G10" s="985"/>
      <c r="H10" s="951"/>
      <c r="J10" s="106"/>
      <c r="K10" s="361"/>
      <c r="L10" s="443"/>
      <c r="M10" s="442"/>
      <c r="N10" s="442"/>
      <c r="O10" s="106"/>
    </row>
    <row r="11" spans="1:15" ht="25" customHeight="1">
      <c r="A11" s="509" t="s">
        <v>770</v>
      </c>
      <c r="B11" s="111"/>
      <c r="C11" s="535"/>
      <c r="D11" s="1"/>
      <c r="E11" s="1"/>
      <c r="F11" s="1"/>
      <c r="G11" s="109"/>
      <c r="H11" s="996"/>
      <c r="J11" s="106"/>
      <c r="K11" s="361"/>
      <c r="L11" s="443"/>
      <c r="M11" s="442"/>
      <c r="N11" s="442"/>
      <c r="O11" s="106"/>
    </row>
    <row r="12" spans="1:15" ht="25" customHeight="1">
      <c r="A12" s="509" t="s">
        <v>771</v>
      </c>
      <c r="B12" s="111"/>
      <c r="G12" s="109"/>
      <c r="H12" s="996"/>
      <c r="J12" s="106"/>
      <c r="K12" s="361"/>
      <c r="L12" s="443"/>
      <c r="M12" s="442"/>
      <c r="N12" s="442"/>
      <c r="O12" s="106"/>
    </row>
    <row r="13" spans="1:15" ht="114.5" customHeight="1">
      <c r="A13" s="509" t="s">
        <v>777</v>
      </c>
      <c r="B13" s="1104" t="str">
        <f>IF(AND(ISNUMBER(B11),ISNUMBER(B12)),MIN(B11+B12,2*B11),"")</f>
        <v/>
      </c>
      <c r="G13" s="109"/>
      <c r="H13" s="996"/>
      <c r="J13" s="106"/>
      <c r="K13" s="361"/>
      <c r="L13" s="443"/>
      <c r="M13" s="442"/>
      <c r="N13" s="442"/>
      <c r="O13" s="106"/>
    </row>
    <row r="14" spans="1:15" ht="25" customHeight="1">
      <c r="A14" s="509" t="s">
        <v>769</v>
      </c>
      <c r="B14" s="988"/>
      <c r="G14" s="109"/>
      <c r="H14" s="996"/>
      <c r="J14" s="106"/>
      <c r="K14" s="361"/>
      <c r="L14" s="443"/>
      <c r="M14" s="442"/>
      <c r="N14" s="442"/>
      <c r="O14" s="106"/>
    </row>
    <row r="15" spans="1:15" ht="25" customHeight="1" thickBot="1">
      <c r="A15" s="986"/>
      <c r="B15" s="535"/>
      <c r="C15" s="535"/>
      <c r="D15" s="106"/>
      <c r="E15" s="106"/>
      <c r="F15" s="106"/>
      <c r="G15" s="109"/>
      <c r="H15" s="996"/>
      <c r="J15" s="106"/>
      <c r="K15" s="106"/>
      <c r="L15" s="106"/>
      <c r="M15" s="106"/>
      <c r="N15" s="106"/>
      <c r="O15" s="106"/>
    </row>
    <row r="16" spans="1:15" ht="25" customHeight="1" thickBot="1">
      <c r="A16" s="983" t="s">
        <v>182</v>
      </c>
      <c r="B16" s="984"/>
      <c r="C16" s="984"/>
      <c r="D16" s="984"/>
      <c r="E16" s="984"/>
      <c r="F16" s="984"/>
      <c r="G16" s="985"/>
      <c r="H16" s="292"/>
      <c r="J16" s="106"/>
      <c r="K16" s="106"/>
      <c r="L16" s="444"/>
      <c r="M16" s="106"/>
      <c r="N16" s="445"/>
      <c r="O16" s="106"/>
    </row>
    <row r="17" spans="1:28" ht="33" customHeight="1" thickBot="1">
      <c r="A17" s="1003" t="s">
        <v>767</v>
      </c>
      <c r="B17" s="1440" t="s">
        <v>183</v>
      </c>
      <c r="C17" s="1441"/>
      <c r="D17" s="536"/>
      <c r="E17" s="448"/>
      <c r="F17" s="535"/>
      <c r="G17" s="109"/>
      <c r="H17" s="996"/>
      <c r="J17" s="106"/>
      <c r="K17" s="106"/>
      <c r="L17" s="106"/>
      <c r="M17" s="106"/>
      <c r="N17" s="106"/>
      <c r="O17" s="106"/>
    </row>
    <row r="18" spans="1:28" ht="25" customHeight="1">
      <c r="A18" s="1002" t="s">
        <v>184</v>
      </c>
      <c r="B18" s="1442">
        <f>_xlfn.IFNA(ROUND(IF(COUNTA(B6),0.8*'A 5.'!B7*VLOOKUP('A 5.'!B5:D5,Objekttabelle!A2:D7,3,FALSE),'A 5.'!B7*VLOOKUP('A 5.'!B5:D5,Objekttabelle!A2:D7,3,FALSE)),0),"-")</f>
        <v>0</v>
      </c>
      <c r="C18" s="1443"/>
      <c r="D18" s="537"/>
      <c r="E18" s="538"/>
      <c r="G18" s="109"/>
      <c r="H18" s="996"/>
    </row>
    <row r="19" spans="1:28" ht="25" customHeight="1">
      <c r="A19" s="59" t="s">
        <v>185</v>
      </c>
      <c r="B19" s="1444">
        <f>_xlfn.IFNA(ROUND(IF(COUNTA(B6),0.8*'A 5.'!B7*VLOOKUP('A 5.'!B5:D5,Objekttabelle!A2:D7,4,FALSE),'A 5.'!B7*VLOOKUP('A 5.'!B5:D5,Objekttabelle!A2:D7,4,FALSE)),0),"-")</f>
        <v>0</v>
      </c>
      <c r="C19" s="1445"/>
      <c r="D19" s="537"/>
      <c r="E19" s="538"/>
      <c r="G19" s="109"/>
      <c r="H19" s="996"/>
    </row>
    <row r="20" spans="1:28" ht="25" customHeight="1">
      <c r="A20" s="529" t="s">
        <v>195</v>
      </c>
      <c r="B20" s="1446">
        <f>IF(B8="x",2.5,5)</f>
        <v>5</v>
      </c>
      <c r="C20" s="1447"/>
      <c r="E20" s="539"/>
      <c r="F20" s="106"/>
      <c r="G20" s="109"/>
      <c r="H20" s="996"/>
    </row>
    <row r="21" spans="1:28" ht="25" customHeight="1">
      <c r="A21" s="530" t="s">
        <v>766</v>
      </c>
      <c r="B21" s="1446">
        <f>IF(B8="x",10,20)</f>
        <v>20</v>
      </c>
      <c r="C21" s="1447"/>
      <c r="E21" s="531"/>
      <c r="F21" s="531"/>
      <c r="G21" s="109"/>
      <c r="H21" s="996"/>
    </row>
    <row r="22" spans="1:28" s="247" customFormat="1" ht="25" customHeight="1" thickBot="1">
      <c r="A22" s="245"/>
      <c r="B22" s="540"/>
      <c r="C22" s="540"/>
      <c r="D22" s="540"/>
      <c r="E22" s="540"/>
      <c r="F22" s="541"/>
      <c r="G22" s="109"/>
      <c r="H22" s="996"/>
      <c r="I22" s="246"/>
      <c r="J22" s="246"/>
      <c r="K22" s="106"/>
      <c r="L22" s="106"/>
      <c r="M22" s="106"/>
      <c r="N22" s="106"/>
      <c r="O22" s="106"/>
      <c r="P22" s="106"/>
      <c r="Q22" s="106"/>
      <c r="R22" s="106"/>
      <c r="S22" s="106"/>
      <c r="T22" s="106"/>
      <c r="U22" s="106"/>
      <c r="V22" s="106"/>
      <c r="W22" s="106"/>
      <c r="X22" s="106"/>
      <c r="Y22" s="106"/>
      <c r="Z22" s="106"/>
      <c r="AA22" s="106"/>
      <c r="AB22" s="106"/>
    </row>
    <row r="23" spans="1:28" s="247" customFormat="1" ht="25" customHeight="1" thickBot="1">
      <c r="A23" s="1003" t="s">
        <v>186</v>
      </c>
      <c r="B23" s="1004" t="s">
        <v>187</v>
      </c>
      <c r="C23" s="1004" t="s">
        <v>162</v>
      </c>
      <c r="D23" s="989"/>
      <c r="E23" s="989"/>
      <c r="F23" s="989"/>
      <c r="G23" s="990"/>
      <c r="H23" s="794"/>
      <c r="I23" s="106"/>
      <c r="J23" s="106"/>
      <c r="K23" s="106"/>
      <c r="L23" s="106"/>
      <c r="M23" s="106"/>
      <c r="N23" s="106"/>
      <c r="O23" s="106"/>
      <c r="P23" s="106"/>
      <c r="Q23" s="106"/>
      <c r="R23" s="106"/>
      <c r="S23" s="106"/>
      <c r="T23" s="106"/>
      <c r="U23" s="106"/>
      <c r="V23" s="106"/>
      <c r="W23" s="106"/>
      <c r="X23" s="106"/>
      <c r="Y23" s="106"/>
      <c r="Z23" s="106"/>
      <c r="AA23" s="106"/>
      <c r="AB23" s="106"/>
    </row>
    <row r="24" spans="1:28" s="247" customFormat="1" ht="28.5" customHeight="1">
      <c r="A24" s="509" t="s">
        <v>188</v>
      </c>
      <c r="B24" s="1060">
        <v>5</v>
      </c>
      <c r="C24" s="1061"/>
      <c r="D24" s="543" t="s">
        <v>189</v>
      </c>
      <c r="E24" s="510" t="str">
        <f>IF(ISNUMBER(B14),ROUNDUP(IF(B14&gt;10,B14/10,1),0),"")</f>
        <v/>
      </c>
      <c r="F24" s="542" t="str">
        <f>IF(E24&lt;=1,"Lademöglichkeit","Lademöglichkeiten")</f>
        <v>Lademöglichkeiten</v>
      </c>
      <c r="G24" s="280" t="s">
        <v>190</v>
      </c>
      <c r="H24" s="996"/>
      <c r="I24" s="106"/>
      <c r="J24" s="106"/>
      <c r="K24" s="106"/>
      <c r="L24" s="106"/>
      <c r="M24" s="106"/>
      <c r="N24" s="106"/>
      <c r="O24" s="106"/>
      <c r="P24" s="106"/>
      <c r="Q24" s="106"/>
      <c r="R24" s="106"/>
      <c r="S24" s="106"/>
      <c r="T24" s="106"/>
      <c r="U24" s="106"/>
      <c r="V24" s="106"/>
      <c r="W24" s="106"/>
      <c r="X24" s="106"/>
      <c r="Y24" s="106"/>
      <c r="Z24" s="106"/>
      <c r="AA24" s="106"/>
      <c r="AB24" s="106"/>
    </row>
    <row r="25" spans="1:28" s="247" customFormat="1" ht="30" customHeight="1" thickBot="1">
      <c r="A25" s="509" t="s">
        <v>191</v>
      </c>
      <c r="B25" s="1060">
        <v>5</v>
      </c>
      <c r="C25" s="1062"/>
      <c r="D25" s="543" t="s">
        <v>189</v>
      </c>
      <c r="E25" s="510" t="str">
        <f>IF(ISNUMBER(B13),ROUNDUP(IF(B13&gt;20,B13/20,1),0),"")</f>
        <v/>
      </c>
      <c r="F25" s="542" t="str">
        <f>IF(E25&lt;=1,"Lademöglichkeit","Lademöglichkeiten")</f>
        <v>Lademöglichkeiten</v>
      </c>
      <c r="G25" s="280" t="s">
        <v>192</v>
      </c>
      <c r="H25" s="996"/>
      <c r="I25" s="106"/>
      <c r="J25" s="106"/>
      <c r="K25" s="106"/>
      <c r="L25" s="106"/>
      <c r="M25" s="106"/>
      <c r="N25" s="106"/>
      <c r="O25" s="106"/>
      <c r="P25" s="106"/>
      <c r="Q25" s="106"/>
      <c r="R25" s="106"/>
      <c r="S25" s="106"/>
      <c r="T25" s="106"/>
      <c r="U25" s="106"/>
      <c r="V25" s="106"/>
      <c r="W25" s="106"/>
      <c r="X25" s="106"/>
      <c r="Y25" s="106"/>
      <c r="Z25" s="106"/>
      <c r="AA25" s="106"/>
      <c r="AB25" s="106"/>
    </row>
    <row r="26" spans="1:28" s="247" customFormat="1" ht="25" customHeight="1" thickBot="1">
      <c r="A26" s="1001" t="s">
        <v>122</v>
      </c>
      <c r="B26" s="1000" t="s">
        <v>193</v>
      </c>
      <c r="C26" s="999" t="str">
        <f>IF(OR(ISNUMBER(C24),ISNUMBER(C25)), SUM(C24,C25),"")</f>
        <v/>
      </c>
      <c r="E26" s="540"/>
      <c r="F26" s="542"/>
      <c r="G26" s="248"/>
      <c r="H26" s="996"/>
      <c r="I26" s="106"/>
      <c r="J26" s="106"/>
      <c r="K26" s="106"/>
      <c r="L26" s="106"/>
      <c r="M26" s="106"/>
      <c r="N26" s="106"/>
      <c r="O26" s="106"/>
      <c r="P26" s="106"/>
      <c r="Q26" s="106"/>
      <c r="R26" s="106"/>
      <c r="S26" s="106"/>
      <c r="T26" s="106"/>
      <c r="U26" s="106"/>
      <c r="V26" s="106"/>
      <c r="W26" s="106"/>
      <c r="X26" s="106"/>
      <c r="Y26" s="106"/>
      <c r="Z26" s="106"/>
      <c r="AA26" s="106"/>
      <c r="AB26" s="106"/>
    </row>
    <row r="27" spans="1:28" s="247" customFormat="1" ht="25" customHeight="1" thickBot="1">
      <c r="A27" s="994"/>
      <c r="B27" s="995"/>
      <c r="C27" s="540"/>
      <c r="D27" s="106"/>
      <c r="E27" s="540"/>
      <c r="F27" s="542"/>
      <c r="G27" s="248"/>
      <c r="H27" s="996"/>
      <c r="I27" s="246"/>
      <c r="J27" s="246"/>
      <c r="K27" s="106"/>
      <c r="L27" s="106"/>
      <c r="M27" s="106"/>
      <c r="N27" s="106"/>
      <c r="O27" s="106"/>
      <c r="P27" s="106"/>
      <c r="Q27" s="106"/>
      <c r="R27" s="106"/>
      <c r="S27" s="106"/>
      <c r="T27" s="106"/>
      <c r="U27" s="106"/>
      <c r="V27" s="106"/>
      <c r="W27" s="106"/>
      <c r="X27" s="106"/>
      <c r="Y27" s="106"/>
      <c r="Z27" s="106"/>
      <c r="AA27" s="106"/>
      <c r="AB27" s="106"/>
    </row>
    <row r="28" spans="1:28" ht="25" customHeight="1" thickBot="1">
      <c r="A28" s="983" t="s">
        <v>194</v>
      </c>
      <c r="B28" s="991"/>
      <c r="C28" s="991"/>
      <c r="D28" s="991"/>
      <c r="E28" s="991"/>
      <c r="F28" s="992"/>
      <c r="G28" s="993"/>
      <c r="H28" s="292"/>
    </row>
    <row r="29" spans="1:28" ht="25" customHeight="1" thickBot="1">
      <c r="A29" s="998" t="s">
        <v>480</v>
      </c>
      <c r="B29" s="1438">
        <f>IFERROR(
   IF(B8="x",
      (
         IF(ISNUMBER(B13),
            IF(B13&lt;B18,0,
               IF(B13&gt;B19,20,
                  B20+(B21-B20)/(B19-B18)*(B13-B18)
               )
            ),
            0
         )
      )/2,
      IF(ISNUMBER(B13),
         IF(B13&lt;B18,0,
            IF(B13&gt;B19,20,
               B20+(B21-B20)/(B19-B18)*(B13-B18)
            )
         ),
         0
      )
   ),
0
)</f>
        <v>0</v>
      </c>
      <c r="C29" s="1439"/>
      <c r="G29" s="109"/>
      <c r="H29" s="292"/>
    </row>
    <row r="30" spans="1:28" ht="25" customHeight="1" thickBot="1">
      <c r="A30" s="997" t="s">
        <v>481</v>
      </c>
      <c r="B30" s="1430">
        <f>SUM(C26,B29)</f>
        <v>0</v>
      </c>
      <c r="C30" s="1431"/>
      <c r="D30" s="108"/>
      <c r="E30" s="108"/>
      <c r="F30" s="107"/>
      <c r="G30" s="249"/>
      <c r="H30" s="292"/>
    </row>
    <row r="31" spans="1:28" ht="25" customHeight="1">
      <c r="A31" s="106"/>
      <c r="B31" s="106"/>
      <c r="C31" s="106"/>
      <c r="D31" s="106"/>
      <c r="E31" s="106"/>
      <c r="F31" s="106"/>
      <c r="G31" s="106"/>
    </row>
    <row r="32" spans="1:28" ht="25" customHeight="1">
      <c r="A32" s="106"/>
      <c r="B32" s="106"/>
      <c r="C32" s="106"/>
      <c r="D32" s="106"/>
      <c r="E32" s="106"/>
      <c r="F32" s="106"/>
      <c r="G32" s="106"/>
    </row>
    <row r="33" ht="25" customHeight="1"/>
    <row r="34" ht="25" customHeight="1"/>
    <row r="35" ht="25" customHeight="1"/>
    <row r="36" ht="25" customHeight="1"/>
    <row r="37" ht="9" customHeight="1"/>
    <row r="38" ht="6" customHeight="1"/>
  </sheetData>
  <sheetProtection algorithmName="SHA-512" hashValue="ZXWi0Ytz0CZPPbj6WzhcFVwmO257tZBOCc1IAkUfG6XDMutxPZwehy1Tgwb11Y1Cyicn4Zud7qDUq4JzjcDhxA==" saltValue="kCoMpbaKg/KAJTd0YadTCA==" spinCount="100000" sheet="1" selectLockedCells="1"/>
  <protectedRanges>
    <protectedRange sqref="H4:H30" name="Bereich9"/>
    <protectedRange sqref="C24:C25" name="Bereich8"/>
    <protectedRange sqref="B14" name="Bereich7"/>
    <protectedRange sqref="B11:B12" name="Bereich6"/>
    <protectedRange sqref="B8" name="Bereich5"/>
    <protectedRange sqref="B6:B7" name="Bereich3"/>
    <protectedRange sqref="B5" name="Bereich2"/>
  </protectedRanges>
  <mergeCells count="9">
    <mergeCell ref="B30:C30"/>
    <mergeCell ref="B4:D4"/>
    <mergeCell ref="B5:D5"/>
    <mergeCell ref="B29:C29"/>
    <mergeCell ref="B17:C17"/>
    <mergeCell ref="B18:C18"/>
    <mergeCell ref="B19:C19"/>
    <mergeCell ref="B20:C20"/>
    <mergeCell ref="B21:C21"/>
  </mergeCells>
  <dataValidations count="1">
    <dataValidation type="list" allowBlank="1" showInputMessage="1" showErrorMessage="1" sqref="C24:C25" xr:uid="{00000000-0002-0000-0400-000000000000}">
      <formula1>"0,5"</formula1>
    </dataValidation>
  </dataValidations>
  <pageMargins left="0.59055118110236238" right="0.59055118110236238" top="0.59055118110236238" bottom="0.59055118110236238" header="0.31496062992125984" footer="0.31496062992125984"/>
  <pageSetup paperSize="8" scale="76"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Objekttabelle!$A$2:$A$8</xm:f>
          </x14:formula1>
          <xm:sqref>B5:D5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D40"/>
  <sheetViews>
    <sheetView zoomScale="80" zoomScaleNormal="80" workbookViewId="0"/>
  </sheetViews>
  <sheetFormatPr baseColWidth="10" defaultColWidth="11.36328125" defaultRowHeight="14.5"/>
  <cols>
    <col min="1" max="1" width="73.81640625" style="62" customWidth="1"/>
    <col min="2" max="2" width="45" style="62" customWidth="1"/>
    <col min="3" max="4" width="9.6328125" style="62" bestFit="1" customWidth="1"/>
    <col min="5" max="16384" width="11.36328125" style="62"/>
  </cols>
  <sheetData>
    <row r="1" spans="1:4">
      <c r="A1" s="63" t="s">
        <v>178</v>
      </c>
      <c r="B1" s="63" t="s">
        <v>196</v>
      </c>
      <c r="C1" s="63" t="s">
        <v>197</v>
      </c>
      <c r="D1" s="63" t="s">
        <v>198</v>
      </c>
    </row>
    <row r="2" spans="1:4">
      <c r="A2" s="64" t="s">
        <v>179</v>
      </c>
      <c r="B2" s="446" t="s">
        <v>199</v>
      </c>
      <c r="C2" s="72">
        <f>1/95</f>
        <v>1.0526315789473684E-2</v>
      </c>
      <c r="D2" s="72">
        <f>1/80</f>
        <v>1.2500000000000001E-2</v>
      </c>
    </row>
    <row r="3" spans="1:4">
      <c r="A3" s="447" t="s">
        <v>200</v>
      </c>
      <c r="B3" s="65" t="s">
        <v>201</v>
      </c>
      <c r="C3" s="72">
        <v>5.25</v>
      </c>
      <c r="D3" s="72">
        <v>6</v>
      </c>
    </row>
    <row r="4" spans="1:4">
      <c r="A4" s="447" t="s">
        <v>202</v>
      </c>
      <c r="B4" s="65" t="s">
        <v>203</v>
      </c>
      <c r="C4" s="72">
        <f>1/2.85</f>
        <v>0.35087719298245612</v>
      </c>
      <c r="D4" s="72">
        <f>1/2.4</f>
        <v>0.41666666666666669</v>
      </c>
    </row>
    <row r="5" spans="1:4">
      <c r="A5" s="447" t="s">
        <v>204</v>
      </c>
      <c r="B5" s="65" t="s">
        <v>203</v>
      </c>
      <c r="C5" s="72">
        <f>1/4.75</f>
        <v>0.21052631578947367</v>
      </c>
      <c r="D5" s="72">
        <f>1/4</f>
        <v>0.25</v>
      </c>
    </row>
    <row r="6" spans="1:4">
      <c r="A6" s="447" t="s">
        <v>205</v>
      </c>
      <c r="B6" s="65" t="s">
        <v>206</v>
      </c>
      <c r="C6" s="72">
        <f>1/9.5</f>
        <v>0.10526315789473684</v>
      </c>
      <c r="D6" s="72">
        <f>1/8</f>
        <v>0.125</v>
      </c>
    </row>
    <row r="7" spans="1:4">
      <c r="A7" s="447" t="s">
        <v>207</v>
      </c>
      <c r="B7" s="65" t="s">
        <v>208</v>
      </c>
      <c r="C7" s="72">
        <f>1/9.5</f>
        <v>0.10526315789473684</v>
      </c>
      <c r="D7" s="72">
        <f>1/8</f>
        <v>0.125</v>
      </c>
    </row>
    <row r="10" spans="1:4" ht="15" thickBot="1">
      <c r="A10" s="448"/>
    </row>
    <row r="11" spans="1:4">
      <c r="A11" s="449" t="s">
        <v>209</v>
      </c>
    </row>
    <row r="12" spans="1:4">
      <c r="A12" s="282" t="s">
        <v>210</v>
      </c>
    </row>
    <row r="13" spans="1:4">
      <c r="A13" s="282" t="s">
        <v>211</v>
      </c>
    </row>
    <row r="14" spans="1:4">
      <c r="A14" s="282" t="s">
        <v>212</v>
      </c>
    </row>
    <row r="15" spans="1:4">
      <c r="A15" s="282"/>
    </row>
    <row r="16" spans="1:4">
      <c r="A16" s="450" t="s">
        <v>213</v>
      </c>
    </row>
    <row r="17" spans="1:1">
      <c r="A17" s="282" t="s">
        <v>214</v>
      </c>
    </row>
    <row r="18" spans="1:1">
      <c r="A18" s="282" t="s">
        <v>215</v>
      </c>
    </row>
    <row r="19" spans="1:1">
      <c r="A19" s="282" t="s">
        <v>216</v>
      </c>
    </row>
    <row r="20" spans="1:1">
      <c r="A20" s="282"/>
    </row>
    <row r="21" spans="1:1">
      <c r="A21" s="450" t="s">
        <v>217</v>
      </c>
    </row>
    <row r="22" spans="1:1">
      <c r="A22" s="282" t="s">
        <v>218</v>
      </c>
    </row>
    <row r="23" spans="1:1">
      <c r="A23" s="282" t="s">
        <v>219</v>
      </c>
    </row>
    <row r="24" spans="1:1">
      <c r="A24" s="282" t="s">
        <v>220</v>
      </c>
    </row>
    <row r="25" spans="1:1">
      <c r="A25" s="282"/>
    </row>
    <row r="26" spans="1:1">
      <c r="A26" s="450" t="s">
        <v>221</v>
      </c>
    </row>
    <row r="27" spans="1:1">
      <c r="A27" s="282" t="s">
        <v>222</v>
      </c>
    </row>
    <row r="28" spans="1:1">
      <c r="A28" s="282" t="s">
        <v>223</v>
      </c>
    </row>
    <row r="29" spans="1:1">
      <c r="A29" s="282" t="s">
        <v>224</v>
      </c>
    </row>
    <row r="30" spans="1:1">
      <c r="A30" s="282"/>
    </row>
    <row r="31" spans="1:1">
      <c r="A31" s="450" t="s">
        <v>225</v>
      </c>
    </row>
    <row r="32" spans="1:1">
      <c r="A32" s="282" t="s">
        <v>226</v>
      </c>
    </row>
    <row r="33" spans="1:1">
      <c r="A33" s="282" t="s">
        <v>227</v>
      </c>
    </row>
    <row r="34" spans="1:1">
      <c r="A34" s="282" t="s">
        <v>228</v>
      </c>
    </row>
    <row r="35" spans="1:1">
      <c r="A35" s="282"/>
    </row>
    <row r="36" spans="1:1">
      <c r="A36" s="450" t="s">
        <v>229</v>
      </c>
    </row>
    <row r="37" spans="1:1">
      <c r="A37" s="282" t="s">
        <v>230</v>
      </c>
    </row>
    <row r="38" spans="1:1">
      <c r="A38" s="282" t="s">
        <v>231</v>
      </c>
    </row>
    <row r="39" spans="1:1">
      <c r="A39" s="282" t="s">
        <v>232</v>
      </c>
    </row>
    <row r="40" spans="1:1" ht="15" thickBot="1">
      <c r="A40" s="451"/>
    </row>
  </sheetData>
  <pageMargins left="0.7" right="0.7" top="0.78740157500000008" bottom="0.78740157500000008"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0">
    <pageSetUpPr fitToPage="1"/>
  </sheetPr>
  <dimension ref="A1:G16"/>
  <sheetViews>
    <sheetView zoomScale="80" zoomScaleNormal="80" workbookViewId="0">
      <selection activeCell="F8" sqref="F8"/>
    </sheetView>
  </sheetViews>
  <sheetFormatPr baseColWidth="10" defaultColWidth="11.36328125" defaultRowHeight="12.5"/>
  <cols>
    <col min="1" max="1" width="37.36328125" style="73" customWidth="1"/>
    <col min="2" max="2" width="93.6328125" style="73" customWidth="1"/>
    <col min="3" max="3" width="10.26953125" style="73" customWidth="1"/>
    <col min="4" max="4" width="22.36328125" style="76" customWidth="1"/>
    <col min="5" max="5" width="22.36328125" style="73" hidden="1" customWidth="1"/>
    <col min="6" max="6" width="22.36328125" style="294" customWidth="1"/>
    <col min="7" max="7" width="11.36328125" style="73" hidden="1" customWidth="1"/>
    <col min="8" max="8" width="0" style="73" hidden="1" customWidth="1"/>
    <col min="9" max="16384" width="11.36328125" style="73"/>
  </cols>
  <sheetData>
    <row r="1" spans="1:7" ht="41.5" customHeight="1">
      <c r="A1" s="1448" t="s">
        <v>702</v>
      </c>
      <c r="B1" s="1448"/>
      <c r="C1" s="1448"/>
      <c r="D1" s="1448"/>
    </row>
    <row r="2" spans="1:7" ht="7.5" customHeight="1" thickBot="1">
      <c r="A2" s="452"/>
      <c r="B2" s="452"/>
      <c r="C2" s="452"/>
      <c r="D2" s="453"/>
    </row>
    <row r="3" spans="1:7" s="74" customFormat="1" ht="41.25" customHeight="1" thickBot="1">
      <c r="A3" s="1005" t="s">
        <v>161</v>
      </c>
      <c r="B3" s="1006" t="s">
        <v>80</v>
      </c>
      <c r="C3" s="1007" t="s">
        <v>703</v>
      </c>
      <c r="D3" s="1008" t="s">
        <v>52</v>
      </c>
      <c r="F3" s="837" t="s">
        <v>53</v>
      </c>
      <c r="G3" s="74">
        <v>0</v>
      </c>
    </row>
    <row r="4" spans="1:7" ht="32.5" customHeight="1" thickBot="1">
      <c r="A4" s="1084" t="s">
        <v>233</v>
      </c>
      <c r="B4" s="1085" t="s">
        <v>775</v>
      </c>
      <c r="C4" s="1086">
        <v>20</v>
      </c>
      <c r="D4" s="1087"/>
      <c r="E4" s="77">
        <v>0</v>
      </c>
      <c r="F4" s="420"/>
      <c r="G4" s="404">
        <v>20</v>
      </c>
    </row>
    <row r="5" spans="1:7" ht="32.5" customHeight="1" thickBot="1">
      <c r="A5" s="1084" t="s">
        <v>234</v>
      </c>
      <c r="B5" s="1088" t="s">
        <v>619</v>
      </c>
      <c r="C5" s="1086">
        <v>10</v>
      </c>
      <c r="D5" s="1087"/>
      <c r="E5" s="77">
        <v>10</v>
      </c>
      <c r="F5" s="420"/>
      <c r="G5" s="404">
        <v>0</v>
      </c>
    </row>
    <row r="6" spans="1:7" s="98" customFormat="1" ht="50.25" customHeight="1" thickBot="1">
      <c r="A6" s="1084" t="s">
        <v>585</v>
      </c>
      <c r="B6" s="1089" t="s">
        <v>715</v>
      </c>
      <c r="C6" s="1090" t="s">
        <v>716</v>
      </c>
      <c r="D6" s="1087"/>
      <c r="E6" s="420"/>
      <c r="F6" s="776"/>
      <c r="G6" s="73">
        <v>10</v>
      </c>
    </row>
    <row r="7" spans="1:7" ht="32.5" customHeight="1" thickBot="1">
      <c r="A7" s="1084" t="s">
        <v>584</v>
      </c>
      <c r="B7" s="1218" t="s">
        <v>691</v>
      </c>
      <c r="C7" s="1086" t="s">
        <v>70</v>
      </c>
      <c r="D7" s="1093"/>
      <c r="E7" s="77">
        <v>0</v>
      </c>
      <c r="F7" s="776"/>
    </row>
    <row r="8" spans="1:7" ht="32.5" customHeight="1" thickBot="1">
      <c r="A8" s="1091" t="s">
        <v>235</v>
      </c>
      <c r="B8" s="1219" t="s">
        <v>799</v>
      </c>
      <c r="C8" s="1092" t="s">
        <v>70</v>
      </c>
      <c r="D8" s="777"/>
      <c r="E8" s="77"/>
      <c r="F8" s="420"/>
    </row>
    <row r="9" spans="1:7" ht="34.5" customHeight="1" thickBot="1">
      <c r="A9" s="1449" t="s">
        <v>122</v>
      </c>
      <c r="B9" s="1450"/>
      <c r="C9" s="1009"/>
      <c r="D9" s="1109">
        <f>IF(SUM(D4:D6)&lt;=40,SUM(D4:D6),40)</f>
        <v>0</v>
      </c>
      <c r="E9" s="454">
        <v>20</v>
      </c>
      <c r="F9" s="421"/>
    </row>
    <row r="10" spans="1:7" ht="13" customHeight="1">
      <c r="A10" s="1451"/>
      <c r="B10" s="1451"/>
      <c r="C10" s="97"/>
    </row>
    <row r="11" spans="1:7" s="74" customFormat="1" ht="154.5" customHeight="1">
      <c r="A11" s="1452"/>
      <c r="B11" s="1453"/>
      <c r="C11" s="101"/>
      <c r="D11" s="76"/>
      <c r="E11" s="1108" t="s">
        <v>462</v>
      </c>
      <c r="F11" s="294"/>
    </row>
    <row r="12" spans="1:7" ht="38.25" customHeight="1">
      <c r="E12" s="508" t="s">
        <v>463</v>
      </c>
    </row>
    <row r="13" spans="1:7" ht="25" customHeight="1"/>
    <row r="14" spans="1:7" s="75" customFormat="1" ht="32.25" customHeight="1">
      <c r="A14" s="73"/>
      <c r="B14" s="73"/>
      <c r="C14" s="73"/>
      <c r="D14" s="76"/>
      <c r="E14" s="73">
        <v>0</v>
      </c>
      <c r="F14" s="294"/>
      <c r="G14" s="454"/>
    </row>
    <row r="15" spans="1:7" ht="14.25" customHeight="1">
      <c r="E15" s="73">
        <v>3</v>
      </c>
    </row>
    <row r="16" spans="1:7">
      <c r="E16" s="73">
        <v>10</v>
      </c>
    </row>
  </sheetData>
  <sheetProtection algorithmName="SHA-512" hashValue="QqXBDjzvYvux4Gy4CPEjPdkffp+0/HTYKDznC3cmRaE75dcLAWCgTg69W5sKZGc3g3i9dEqjh6Aub4J7kAEiWg==" saltValue="3Zzc4hhO6ko3jI0huSLEGg==" spinCount="100000" sheet="1" selectLockedCells="1"/>
  <protectedRanges>
    <protectedRange sqref="D4:D8" name="Bereich2"/>
    <protectedRange sqref="E6 F4:F5 F7:F9" name="Bereich3"/>
  </protectedRanges>
  <mergeCells count="4">
    <mergeCell ref="A1:D1"/>
    <mergeCell ref="A9:B9"/>
    <mergeCell ref="A10:B10"/>
    <mergeCell ref="A11:B11"/>
  </mergeCells>
  <conditionalFormatting sqref="D7:D8">
    <cfRule type="beginsWith" dxfId="18" priority="1" operator="beginsWith" text="e">
      <formula>LEFT(D7,LEN("e"))="e"</formula>
    </cfRule>
  </conditionalFormatting>
  <dataValidations count="4">
    <dataValidation type="list" allowBlank="1" showInputMessage="1" showErrorMessage="1" sqref="D4" xr:uid="{41AC47C3-8F51-4913-8581-9E4FC6D5B298}">
      <formula1>G3:G4</formula1>
    </dataValidation>
    <dataValidation type="list" allowBlank="1" showInputMessage="1" showErrorMessage="1" sqref="D7:D8" xr:uid="{FE77A03C-06E7-400D-8774-226CE3D1B005}">
      <formula1>$E$11:$E$12</formula1>
    </dataValidation>
    <dataValidation type="list" allowBlank="1" showInputMessage="1" showErrorMessage="1" sqref="D6" xr:uid="{B5F630A5-1B78-462D-B977-E4E9600F79EE}">
      <formula1>$E$14:$E$16</formula1>
    </dataValidation>
    <dataValidation type="list" allowBlank="1" showInputMessage="1" showErrorMessage="1" sqref="D5" xr:uid="{09195B3F-12E9-4962-B51D-FB404BE0184D}">
      <formula1>$G$5:$G$6</formula1>
    </dataValidation>
  </dataValidations>
  <printOptions horizontalCentered="1"/>
  <pageMargins left="0.59055118110236227" right="0.59055118110236227" top="0.59055118110236227" bottom="0.59055118110236227" header="0.31496062992125984" footer="0.31496062992125984"/>
  <pageSetup paperSize="9" scale="7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6B8E2-6C72-40CF-A682-CA101B566CE9}">
  <dimension ref="A1:I23"/>
  <sheetViews>
    <sheetView zoomScale="80" zoomScaleNormal="80" workbookViewId="0">
      <selection activeCell="B11" sqref="B11"/>
    </sheetView>
  </sheetViews>
  <sheetFormatPr baseColWidth="10" defaultColWidth="11.6328125" defaultRowHeight="12.5"/>
  <cols>
    <col min="1" max="1" width="26" style="363" customWidth="1"/>
    <col min="2" max="2" width="88.6328125" style="363" customWidth="1"/>
    <col min="3" max="3" width="17" style="363" customWidth="1"/>
    <col min="4" max="4" width="13.36328125" style="363" customWidth="1"/>
    <col min="5" max="7" width="11.36328125" style="363" hidden="1" customWidth="1"/>
    <col min="8" max="8" width="40.81640625" style="1111" customWidth="1"/>
    <col min="9" max="16384" width="11.6328125" style="363"/>
  </cols>
  <sheetData>
    <row r="1" spans="1:9" ht="42" customHeight="1">
      <c r="A1" s="1322" t="s">
        <v>706</v>
      </c>
      <c r="B1" s="1322"/>
      <c r="C1" s="1322"/>
      <c r="D1" s="1322"/>
      <c r="E1" s="1322"/>
      <c r="F1" s="1322"/>
      <c r="G1" s="1322"/>
      <c r="H1" s="1322"/>
      <c r="I1" s="1322"/>
    </row>
    <row r="2" spans="1:9" ht="6.75" customHeight="1" thickBot="1"/>
    <row r="3" spans="1:9" ht="36" customHeight="1" thickBot="1">
      <c r="A3" s="1010" t="s">
        <v>161</v>
      </c>
      <c r="B3" s="1011" t="s">
        <v>166</v>
      </c>
      <c r="C3" s="1012" t="s">
        <v>331</v>
      </c>
      <c r="D3" s="1112" t="s">
        <v>162</v>
      </c>
      <c r="H3" s="842" t="s">
        <v>53</v>
      </c>
    </row>
    <row r="4" spans="1:9" ht="32.25" customHeight="1">
      <c r="A4" s="1454" t="s">
        <v>456</v>
      </c>
      <c r="B4" s="1113" t="s">
        <v>466</v>
      </c>
      <c r="C4" s="1114">
        <v>6</v>
      </c>
      <c r="D4" s="1456"/>
      <c r="E4" s="1461">
        <v>0</v>
      </c>
      <c r="F4" s="1461">
        <v>3</v>
      </c>
      <c r="G4" s="1462">
        <v>6</v>
      </c>
      <c r="H4" s="939"/>
    </row>
    <row r="5" spans="1:9" ht="32.25" customHeight="1">
      <c r="A5" s="1459"/>
      <c r="B5" s="1115" t="s">
        <v>467</v>
      </c>
      <c r="C5" s="1116">
        <v>3</v>
      </c>
      <c r="D5" s="1460"/>
      <c r="E5" s="1461"/>
      <c r="F5" s="1461"/>
      <c r="G5" s="1462"/>
      <c r="H5" s="939"/>
    </row>
    <row r="6" spans="1:9" ht="26.25" customHeight="1" thickBot="1">
      <c r="A6" s="1455"/>
      <c r="B6" s="1117" t="s">
        <v>620</v>
      </c>
      <c r="C6" s="1013" t="s">
        <v>236</v>
      </c>
      <c r="D6" s="1457"/>
      <c r="H6" s="939"/>
    </row>
    <row r="7" spans="1:9" ht="44.25" customHeight="1">
      <c r="A7" s="1454" t="s">
        <v>237</v>
      </c>
      <c r="B7" s="1113" t="s">
        <v>680</v>
      </c>
      <c r="C7" s="1114">
        <v>3</v>
      </c>
      <c r="D7" s="1456"/>
      <c r="E7" s="363">
        <v>0</v>
      </c>
      <c r="F7" s="363">
        <v>3</v>
      </c>
      <c r="H7" s="939"/>
    </row>
    <row r="8" spans="1:9" ht="26.25" customHeight="1" thickBot="1">
      <c r="A8" s="1455"/>
      <c r="B8" s="1117" t="s">
        <v>621</v>
      </c>
      <c r="C8" s="1013" t="s">
        <v>238</v>
      </c>
      <c r="D8" s="1457"/>
      <c r="H8" s="939"/>
    </row>
    <row r="9" spans="1:9" ht="44.25" customHeight="1">
      <c r="A9" s="1454" t="s">
        <v>675</v>
      </c>
      <c r="B9" s="1113" t="s">
        <v>623</v>
      </c>
      <c r="C9" s="1114">
        <v>2</v>
      </c>
      <c r="D9" s="1456"/>
      <c r="E9" s="363">
        <v>0</v>
      </c>
      <c r="F9" s="363">
        <v>2</v>
      </c>
      <c r="H9" s="939"/>
    </row>
    <row r="10" spans="1:9" ht="26.25" customHeight="1" thickBot="1">
      <c r="A10" s="1455"/>
      <c r="B10" s="1117" t="s">
        <v>622</v>
      </c>
      <c r="C10" s="1013" t="s">
        <v>239</v>
      </c>
      <c r="D10" s="1457"/>
      <c r="H10" s="939"/>
    </row>
    <row r="11" spans="1:9" ht="30.75" customHeight="1" thickBot="1">
      <c r="A11" s="1015" t="s">
        <v>122</v>
      </c>
      <c r="B11" s="758"/>
      <c r="C11" s="758"/>
      <c r="D11" s="1014">
        <f>IF(SUM(D4,D7,D9)&lt;10,SUM(D4,D7,D9),10)</f>
        <v>0</v>
      </c>
      <c r="H11" s="1458"/>
    </row>
    <row r="12" spans="1:9">
      <c r="A12" s="1118"/>
      <c r="H12" s="1458"/>
    </row>
    <row r="13" spans="1:9">
      <c r="H13" s="103"/>
    </row>
    <row r="14" spans="1:9">
      <c r="H14" s="103"/>
    </row>
    <row r="15" spans="1:9">
      <c r="H15" s="103"/>
    </row>
    <row r="16" spans="1:9">
      <c r="H16" s="103"/>
    </row>
    <row r="17" spans="8:8">
      <c r="H17" s="103"/>
    </row>
    <row r="18" spans="8:8">
      <c r="H18" s="103"/>
    </row>
    <row r="19" spans="8:8">
      <c r="H19" s="103"/>
    </row>
    <row r="20" spans="8:8">
      <c r="H20" s="103"/>
    </row>
    <row r="21" spans="8:8">
      <c r="H21" s="103"/>
    </row>
    <row r="22" spans="8:8">
      <c r="H22" s="103"/>
    </row>
    <row r="23" spans="8:8" ht="15.5">
      <c r="H23" s="289"/>
    </row>
  </sheetData>
  <sheetProtection algorithmName="SHA-512" hashValue="Eld9jEmK1j0qL+1y8Fsf8zoOwqWfkg/SehGLVHsP3cnPoJ6qJ/mtMaocn3EyXEShMikvW/Rfn78mEXDU+K5KxA==" saltValue="nnAP3wCmQQZ2l14p+b3cYQ==" spinCount="100000" sheet="1" pivotTables="0"/>
  <protectedRanges>
    <protectedRange sqref="D4" name="Bereich1"/>
    <protectedRange sqref="H4:H10" name="Bereich2"/>
    <protectedRange sqref="D7" name="Bereich3"/>
    <protectedRange sqref="D9" name="Bereich4"/>
  </protectedRanges>
  <mergeCells count="11">
    <mergeCell ref="A1:I1"/>
    <mergeCell ref="A4:A6"/>
    <mergeCell ref="D4:D6"/>
    <mergeCell ref="E4:E5"/>
    <mergeCell ref="F4:F5"/>
    <mergeCell ref="G4:G5"/>
    <mergeCell ref="A7:A8"/>
    <mergeCell ref="D7:D8"/>
    <mergeCell ref="A9:A10"/>
    <mergeCell ref="D9:D10"/>
    <mergeCell ref="H11:H12"/>
  </mergeCells>
  <dataValidations count="3">
    <dataValidation type="list" allowBlank="1" showInputMessage="1" showErrorMessage="1" sqref="D4:D5" xr:uid="{7581B812-5BFA-423D-B287-E1EAFBDA1C8E}">
      <formula1>$E$4:$G$4</formula1>
    </dataValidation>
    <dataValidation type="list" allowBlank="1" showInputMessage="1" showErrorMessage="1" sqref="D9" xr:uid="{0F7F968E-767D-4D69-8887-2A3B0662E102}">
      <formula1>$E$9:$F$9</formula1>
    </dataValidation>
    <dataValidation type="list" allowBlank="1" showInputMessage="1" showErrorMessage="1" sqref="D7" xr:uid="{9D347AE8-549C-4F49-AC96-68FC4C8262EB}">
      <formula1>$E$7:$F$7</formula1>
    </dataValidation>
  </dataValidations>
  <pageMargins left="0.7" right="0.7" top="0.78740157499999996" bottom="0.78740157499999996"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5" ma:contentTypeDescription="Ein neues Dokument erstellen." ma:contentTypeScope="" ma:versionID="9df47d3f5d39e56ac2f5fc3d464964eb">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04b39def9b8e1f45d83eb023d1e738d5"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Q D A A B Q S w M E F A A C A A g A / W h 1 W 8 p d m d i k A A A A 9 g A A A B I A H A B D b 2 5 m a W c v U G F j a 2 F n Z S 5 4 b W w g o h g A K K A U A A A A A A A A A A A A A A A A A A A A A A A A A A A A h Y 8 x D o I w G I W v Q r r T l u p A y E 8 Z 1 E 0 S E x P j 2 p Q K D V A M L Z a 7 O X g k r y B G U T f H 9 7 1 v e O 9 + v U E 2 t k 1 w U b 3 V n U l R h C k K l J F d o U 2 Z o s G d w h h l H H Z C 1 q J U w S Q b m 4 y 2 S F H l 3 D k h x H u P / Q J 3 f U k Y p R E 5 5 t u 9 r F Q r 0 E f W / + V Q G + u E k Q p x O L z G c I a j Z Y w Z n T Y B m S H k 2 n w F N n X P 9 g f C a m j c 0 C t e q H C 9 A T J H I O 8 P / A F Q S w M E F A A C A A g A / W h 1 W 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1 o d V s o i k e 4 D g A A A B E A A A A T A B w A R m 9 y b X V s Y X M v U 2 V j d G l v b j E u b S C i G A A o o B Q A A A A A A A A A A A A A A A A A A A A A A A A A A A A r T k 0 u y c z P U w i G 0 I b W A F B L A Q I t A B Q A A g A I A P 1 o d V v K X Z n Y p A A A A P Y A A A A S A A A A A A A A A A A A A A A A A A A A A A B D b 2 5 m a W c v U G F j a 2 F n Z S 5 4 b W x Q S w E C L Q A U A A I A C A D 9 a H V b D 8 r p q 6 Q A A A D p A A A A E w A A A A A A A A A A A A A A A A D w A A A A W 0 N v b n R l b n R f V H l w Z X N d L n h t b F B L A Q I t A B Q A A g A I A P 1 o d V s 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M x A J + J D m J T L D m R a 0 P y B D h A A A A A A I A A A A A A B B m A A A A A Q A A I A A A A D x d Z y w d 6 2 + 9 L V O P H b + V y x Q x 2 v x V p 2 d 5 F u h 2 i U c P T i C D A A A A A A 6 A A A A A A g A A I A A A A D j d S / i 7 r w P y 4 7 t B u g f I O m C H 3 V I M c D e m u 2 N C f i 4 2 V F A T U A A A A N 5 0 B t Q U e 7 7 Y m O 9 Q 4 9 V W m 1 O a E a 5 N N i F I q W B m z C w q Y 0 R K a D / D 4 c y K T D h k 5 Y i R X i c Q a F a l o y G 3 3 t 0 R v O x + 4 v V X F J V P b j Q h T c F A + T I 3 6 d G T c 0 / D Q A A A A D c T + v g o m k 0 l M l P g q 3 y r 3 0 a b n Q K o 7 u 5 G 6 g q n + 4 0 U n A N t 4 m M e Z M D u / 9 t Q 7 C m z P 0 T k k 4 g T i U 5 t T T W L g P b S 8 3 H L 6 f k = < / D a t a M a s h u p > 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4DEC86B-E94F-45EF-8D2B-2787D1FEA01C}">
  <ds:schemaRefs>
    <ds:schemaRef ds:uri="http://schemas.microsoft.com/office/2006/documentManagement/types"/>
    <ds:schemaRef ds:uri="http://www.w3.org/XML/1998/namespace"/>
    <ds:schemaRef ds:uri="http://purl.org/dc/elements/1.1/"/>
    <ds:schemaRef ds:uri="http://purl.org/dc/terms/"/>
    <ds:schemaRef ds:uri="http://schemas.openxmlformats.org/package/2006/metadata/core-properties"/>
    <ds:schemaRef ds:uri="cf30bd56-e01e-4391-9850-ada34396b374"/>
    <ds:schemaRef ds:uri="http://schemas.microsoft.com/office/2006/metadata/properties"/>
    <ds:schemaRef ds:uri="http://purl.org/dc/dcmitype/"/>
    <ds:schemaRef ds:uri="http://schemas.microsoft.com/office/infopath/2007/PartnerControls"/>
    <ds:schemaRef ds:uri="a6081b03-2a40-4a72-92f3-e27db004df69"/>
  </ds:schemaRefs>
</ds:datastoreItem>
</file>

<file path=customXml/itemProps2.xml><?xml version="1.0" encoding="utf-8"?>
<ds:datastoreItem xmlns:ds="http://schemas.openxmlformats.org/officeDocument/2006/customXml" ds:itemID="{9C1166BA-6334-44FC-A1F1-416F9EFFC0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916C240-0169-405C-B536-2F98ACCAE82C}">
  <ds:schemaRefs>
    <ds:schemaRef ds:uri="http://schemas.microsoft.com/DataMashup"/>
  </ds:schemaRefs>
</ds:datastoreItem>
</file>

<file path=customXml/itemProps4.xml><?xml version="1.0" encoding="utf-8"?>
<ds:datastoreItem xmlns:ds="http://schemas.openxmlformats.org/officeDocument/2006/customXml" ds:itemID="{2A9E88D4-4253-4971-9EF1-502D602F13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3</vt:i4>
      </vt:variant>
    </vt:vector>
  </HeadingPairs>
  <TitlesOfParts>
    <vt:vector size="27" baseType="lpstr">
      <vt:lpstr>Deckblatt LNB_QNG</vt:lpstr>
      <vt:lpstr>Deckblatt LNB</vt:lpstr>
      <vt:lpstr>Punktevergabe LNB</vt:lpstr>
      <vt:lpstr>A 3.</vt:lpstr>
      <vt:lpstr>A 4.</vt:lpstr>
      <vt:lpstr>A 5.</vt:lpstr>
      <vt:lpstr>Objekttabelle</vt:lpstr>
      <vt:lpstr>A 6.</vt:lpstr>
      <vt:lpstr>A 7.</vt:lpstr>
      <vt:lpstr>A 8.</vt:lpstr>
      <vt:lpstr>B 1. </vt:lpstr>
      <vt:lpstr>B 2. B 3. </vt:lpstr>
      <vt:lpstr>B1 Graphik</vt:lpstr>
      <vt:lpstr>B2 Graphik</vt:lpstr>
      <vt:lpstr>B 4.</vt:lpstr>
      <vt:lpstr>B 5.</vt:lpstr>
      <vt:lpstr>C 1.</vt:lpstr>
      <vt:lpstr>C 2.</vt:lpstr>
      <vt:lpstr>D </vt:lpstr>
      <vt:lpstr>Punktevergabe LNB_QNG</vt:lpstr>
      <vt:lpstr>Nebenrechnungen</vt:lpstr>
      <vt:lpstr>Änderungen zur Vorversion</vt:lpstr>
      <vt:lpstr>Kriterieneinteilung LNB_QNG</vt:lpstr>
      <vt:lpstr>Tabelle1</vt:lpstr>
      <vt:lpstr>'Änderungen zur Vorversion'!_Toc218697284</vt:lpstr>
      <vt:lpstr>'Punktevergabe LNB'!Druckbereich</vt:lpstr>
      <vt:lpstr>Punkte</vt:lpstr>
    </vt:vector>
  </TitlesOfParts>
  <Manager/>
  <Company>IBO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Rechenknecht</dc:creator>
  <cp:keywords/>
  <dc:description/>
  <cp:lastModifiedBy>Maximilian Eiler</cp:lastModifiedBy>
  <cp:revision>1</cp:revision>
  <cp:lastPrinted>2026-01-12T14:36:53Z</cp:lastPrinted>
  <dcterms:created xsi:type="dcterms:W3CDTF">2005-07-27T13:49:14Z</dcterms:created>
  <dcterms:modified xsi:type="dcterms:W3CDTF">2026-02-05T07:45:52Z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